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slicers/slicer1.xml" ContentType="application/vnd.ms-excel.slicer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slicers/slicer2.xml" ContentType="application/vnd.ms-excel.slicer+xml"/>
  <Override PartName="/xl/drawings/drawing19.xml" ContentType="application/vnd.openxmlformats-officedocument.drawing+xml"/>
  <Override PartName="/xl/tables/table9.xml" ContentType="application/vnd.openxmlformats-officedocument.spreadsheetml.table+xml"/>
  <Override PartName="/xl/drawings/drawing20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CEIVI - PMV\Prestação de Contas - Site\Prestação Site - Educação\"/>
    </mc:Choice>
  </mc:AlternateContent>
  <xr:revisionPtr revIDLastSave="0" documentId="13_ncr:1_{A919F511-F0F8-4A78-A210-81D9AB054006}" xr6:coauthVersionLast="47" xr6:coauthVersionMax="47" xr10:uidLastSave="{00000000-0000-0000-0000-000000000000}"/>
  <bookViews>
    <workbookView xWindow="-120" yWindow="-120" windowWidth="20730" windowHeight="11160" firstSheet="18" activeTab="19" xr2:uid="{00000000-000D-0000-FFFF-FFFF00000000}"/>
  </bookViews>
  <sheets>
    <sheet name="Janeiro" sheetId="1" state="hidden" r:id="rId1"/>
    <sheet name="Fevereiro" sheetId="27" state="hidden" r:id="rId2"/>
    <sheet name="Março" sheetId="30" state="hidden" r:id="rId3"/>
    <sheet name="Abril" sheetId="31" state="hidden" r:id="rId4"/>
    <sheet name="Maio" sheetId="33" state="hidden" r:id="rId5"/>
    <sheet name="Junho" sheetId="38" state="hidden" r:id="rId6"/>
    <sheet name="Julho" sheetId="39" state="hidden" r:id="rId7"/>
    <sheet name="Agosto" sheetId="42" state="hidden" r:id="rId8"/>
    <sheet name="Setembro" sheetId="43" state="hidden" r:id="rId9"/>
    <sheet name="Con-Março" sheetId="29" state="hidden" r:id="rId10"/>
    <sheet name="Con-Abril" sheetId="32" state="hidden" r:id="rId11"/>
    <sheet name="Con. Maio" sheetId="34" state="hidden" r:id="rId12"/>
    <sheet name="Folha" sheetId="35" state="hidden" r:id="rId13"/>
    <sheet name="ConJunho" sheetId="37" state="hidden" r:id="rId14"/>
    <sheet name="ConJulho" sheetId="40" state="hidden" r:id="rId15"/>
    <sheet name="ConAgosto" sheetId="41" state="hidden" r:id="rId16"/>
    <sheet name="Planilha2" sheetId="44" state="hidden" r:id="rId17"/>
    <sheet name="FOLHA1" sheetId="36" state="hidden" r:id="rId18"/>
    <sheet name="Janeiro1" sheetId="48" r:id="rId19"/>
    <sheet name="Fevereiro1" sheetId="49" r:id="rId20"/>
    <sheet name="OUT" sheetId="47" state="hidden" r:id="rId21"/>
    <sheet name="Ofi-Anual" sheetId="23" state="hidden" r:id="rId22"/>
    <sheet name="Anexo18" sheetId="15" state="hidden" r:id="rId23"/>
    <sheet name="Anexo19" sheetId="16" state="hidden" r:id="rId24"/>
    <sheet name="At. Existência" sheetId="17" state="hidden" r:id="rId25"/>
    <sheet name="At.Regularidade" sheetId="18" state="hidden" r:id="rId26"/>
    <sheet name="Dec. Guarda" sheetId="20" state="hidden" r:id="rId27"/>
    <sheet name="Dec.Exatidão" sheetId="21" state="hidden" r:id="rId28"/>
    <sheet name="Dec.Dirigente" sheetId="22" state="hidden" r:id="rId29"/>
    <sheet name="Parec.Conselho" sheetId="26" state="hidden" r:id="rId30"/>
    <sheet name="Oculta" sheetId="8" state="hidden" r:id="rId31"/>
  </sheets>
  <externalReferences>
    <externalReference r:id="rId32"/>
  </externalReferences>
  <definedNames>
    <definedName name="_Toc453590990" localSheetId="22">Anexo18!$A$7</definedName>
    <definedName name="_Toc453590991" localSheetId="23">Anexo19!$A$7</definedName>
    <definedName name="SegmentaçãodeDados_Mês">#N/A</definedName>
    <definedName name="SegmentaçãodeDados_Mês1">#N/A</definedName>
    <definedName name="SegmentaçãodeDados_MÊS2">#N/A</definedName>
    <definedName name="SegmentaçãodeDados_MÊS3">#N/A</definedName>
    <definedName name="SegmentaçãodeDados_Mês4">#N/A</definedName>
    <definedName name="SegmentaçãodeDados_MÊS5">#N/A</definedName>
    <definedName name="SegmentaçãodeDados_Mês6">#N/A</definedName>
    <definedName name="SegmentaçãodeDados_MÊS7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49" l="1"/>
  <c r="E61" i="49"/>
  <c r="C60" i="49"/>
  <c r="E59" i="49"/>
  <c r="E58" i="49"/>
  <c r="E57" i="49"/>
  <c r="E56" i="49"/>
  <c r="E55" i="49"/>
  <c r="E54" i="49"/>
  <c r="C53" i="49"/>
  <c r="E52" i="49"/>
  <c r="E51" i="49"/>
  <c r="E50" i="49"/>
  <c r="E49" i="49"/>
  <c r="C47" i="49"/>
  <c r="B47" i="49"/>
  <c r="F62" i="49"/>
  <c r="D62" i="49"/>
  <c r="C46" i="49"/>
  <c r="E25" i="49"/>
  <c r="E21" i="49"/>
  <c r="E23" i="49" s="1"/>
  <c r="F61" i="48"/>
  <c r="E25" i="48"/>
  <c r="E21" i="48"/>
  <c r="E23" i="48" s="1"/>
  <c r="D126" i="47"/>
  <c r="E126" i="47" s="1"/>
  <c r="F93" i="47"/>
  <c r="B93" i="47"/>
  <c r="E93" i="47"/>
  <c r="B63" i="47"/>
  <c r="B32" i="47"/>
  <c r="F92" i="47"/>
  <c r="D125" i="47"/>
  <c r="E125" i="47" s="1"/>
  <c r="E92" i="47"/>
  <c r="B62" i="49" l="1"/>
  <c r="E46" i="49"/>
  <c r="E26" i="49"/>
  <c r="E29" i="49" s="1"/>
  <c r="E65" i="49" s="1"/>
  <c r="C62" i="49"/>
  <c r="B61" i="48"/>
  <c r="D61" i="48"/>
  <c r="C61" i="48"/>
  <c r="E26" i="48"/>
  <c r="E85" i="48" s="1"/>
  <c r="D124" i="47"/>
  <c r="E124" i="47" s="1"/>
  <c r="E62" i="49" l="1"/>
  <c r="E66" i="49"/>
  <c r="E67" i="49" s="1"/>
  <c r="E69" i="49" s="1"/>
  <c r="E61" i="48"/>
  <c r="E86" i="48"/>
  <c r="E87" i="48" s="1"/>
  <c r="E89" i="48" s="1"/>
  <c r="E91" i="47"/>
  <c r="D123" i="47"/>
  <c r="E123" i="47" s="1"/>
  <c r="E90" i="47"/>
  <c r="D122" i="47"/>
  <c r="E122" i="47" s="1"/>
  <c r="E89" i="47"/>
  <c r="D121" i="47"/>
  <c r="E121" i="47" s="1"/>
  <c r="E88" i="47"/>
  <c r="D120" i="47"/>
  <c r="E120" i="47" s="1"/>
  <c r="F87" i="47"/>
  <c r="E87" i="47"/>
  <c r="D119" i="47"/>
  <c r="E119" i="47" s="1"/>
  <c r="E86" i="47" l="1"/>
  <c r="B64" i="47"/>
  <c r="D118" i="47"/>
  <c r="E118" i="47" s="1"/>
  <c r="E85" i="47"/>
  <c r="D117" i="47"/>
  <c r="E117" i="47" s="1"/>
  <c r="E84" i="47"/>
  <c r="E83" i="47"/>
  <c r="E116" i="47"/>
  <c r="F83" i="47" l="1"/>
  <c r="B83" i="47"/>
  <c r="D115" i="47"/>
  <c r="E115" i="47" s="1"/>
  <c r="E82" i="47"/>
  <c r="B82" i="47"/>
  <c r="D114" i="47"/>
  <c r="E114" i="47" s="1"/>
  <c r="D81" i="47"/>
  <c r="E81" i="47" s="1"/>
  <c r="B81" i="47"/>
  <c r="D113" i="47"/>
  <c r="E113" i="47" s="1"/>
  <c r="E80" i="47"/>
  <c r="D112" i="47"/>
  <c r="E112" i="47" s="1"/>
  <c r="D111" i="47"/>
  <c r="E111" i="47" s="1"/>
  <c r="D110" i="47"/>
  <c r="E110" i="47" s="1"/>
  <c r="D109" i="47"/>
  <c r="E109" i="47" s="1"/>
  <c r="D108" i="47"/>
  <c r="E108" i="47" s="1"/>
  <c r="D107" i="47"/>
  <c r="E107" i="47" s="1"/>
  <c r="D106" i="47"/>
  <c r="E106" i="47" s="1"/>
  <c r="D105" i="47"/>
  <c r="E105" i="47" s="1"/>
  <c r="D104" i="47"/>
  <c r="E104" i="47" s="1"/>
  <c r="E79" i="47"/>
  <c r="E78" i="47"/>
  <c r="E77" i="47"/>
  <c r="E76" i="47"/>
  <c r="F75" i="47"/>
  <c r="D75" i="47"/>
  <c r="E75" i="47" s="1"/>
  <c r="D74" i="47"/>
  <c r="E74" i="47" s="1"/>
  <c r="B74" i="47"/>
  <c r="F73" i="47"/>
  <c r="D73" i="47"/>
  <c r="E73" i="47" s="1"/>
  <c r="F72" i="47"/>
  <c r="D72" i="47"/>
  <c r="C72" i="47"/>
  <c r="E71" i="47"/>
  <c r="B71" i="47"/>
  <c r="F71" i="47" s="1"/>
  <c r="E72" i="47" l="1"/>
  <c r="E51" i="47"/>
  <c r="E50" i="47"/>
  <c r="E49" i="47"/>
  <c r="E48" i="47"/>
  <c r="E47" i="47"/>
  <c r="E46" i="47"/>
  <c r="E45" i="47"/>
  <c r="E44" i="47"/>
  <c r="E43" i="47"/>
  <c r="E42" i="47"/>
  <c r="E41" i="47"/>
  <c r="E40" i="47"/>
  <c r="F127" i="47"/>
  <c r="C127" i="47"/>
  <c r="B127" i="47"/>
  <c r="D53" i="43"/>
  <c r="E53" i="43" s="1"/>
  <c r="D20" i="44"/>
  <c r="C24" i="44"/>
  <c r="C27" i="44" s="1"/>
  <c r="C18" i="44"/>
  <c r="C26" i="44" s="1"/>
  <c r="C103" i="36"/>
  <c r="I72" i="43"/>
  <c r="C69" i="43"/>
  <c r="E76" i="43" s="1"/>
  <c r="E68" i="43"/>
  <c r="D67" i="43"/>
  <c r="E67" i="43" s="1"/>
  <c r="B69" i="43"/>
  <c r="E66" i="43"/>
  <c r="E65" i="43"/>
  <c r="E64" i="43"/>
  <c r="E63" i="43"/>
  <c r="E62" i="43"/>
  <c r="E61" i="43"/>
  <c r="E60" i="43"/>
  <c r="E59" i="43"/>
  <c r="E58" i="43"/>
  <c r="E57" i="43"/>
  <c r="E56" i="43"/>
  <c r="E55" i="43"/>
  <c r="E54" i="43"/>
  <c r="F53" i="43"/>
  <c r="F69" i="43" s="1"/>
  <c r="D69" i="43"/>
  <c r="E30" i="43"/>
  <c r="B67" i="42"/>
  <c r="D67" i="42" s="1"/>
  <c r="E67" i="42" s="1"/>
  <c r="F53" i="42"/>
  <c r="F69" i="42" s="1"/>
  <c r="I72" i="42"/>
  <c r="E68" i="42"/>
  <c r="E66" i="42"/>
  <c r="E65" i="42"/>
  <c r="E64" i="42"/>
  <c r="E63" i="42"/>
  <c r="E62" i="42"/>
  <c r="E61" i="42"/>
  <c r="E60" i="42"/>
  <c r="E59" i="42"/>
  <c r="E58" i="42"/>
  <c r="E57" i="42"/>
  <c r="E56" i="42"/>
  <c r="E55" i="42"/>
  <c r="E54" i="42"/>
  <c r="E30" i="42"/>
  <c r="D20" i="41"/>
  <c r="D53" i="42" s="1"/>
  <c r="C22" i="41"/>
  <c r="C25" i="41" s="1"/>
  <c r="C18" i="41"/>
  <c r="C24" i="41" s="1"/>
  <c r="C97" i="36"/>
  <c r="C31" i="40"/>
  <c r="C22" i="40"/>
  <c r="B67" i="39" s="1"/>
  <c r="C18" i="40"/>
  <c r="C25" i="40" s="1"/>
  <c r="E49" i="36"/>
  <c r="C91" i="36"/>
  <c r="C53" i="42" l="1"/>
  <c r="C69" i="42" s="1"/>
  <c r="C94" i="47"/>
  <c r="E127" i="47"/>
  <c r="B94" i="47"/>
  <c r="F94" i="47"/>
  <c r="D94" i="47"/>
  <c r="C23" i="40"/>
  <c r="C26" i="40" s="1"/>
  <c r="C28" i="40" s="1"/>
  <c r="C53" i="39"/>
  <c r="C29" i="44"/>
  <c r="E69" i="43"/>
  <c r="B69" i="42"/>
  <c r="C27" i="41"/>
  <c r="D53" i="39" l="1"/>
  <c r="D127" i="47"/>
  <c r="E94" i="47"/>
  <c r="D69" i="42"/>
  <c r="E53" i="42"/>
  <c r="I72" i="39"/>
  <c r="F69" i="39"/>
  <c r="C69" i="39"/>
  <c r="B69" i="39"/>
  <c r="E68" i="39"/>
  <c r="D67" i="39"/>
  <c r="E67" i="39" s="1"/>
  <c r="E66" i="39"/>
  <c r="E65" i="39"/>
  <c r="E64" i="39"/>
  <c r="E63" i="39"/>
  <c r="E62" i="39"/>
  <c r="E61" i="39"/>
  <c r="E60" i="39"/>
  <c r="E59" i="39"/>
  <c r="E58" i="39"/>
  <c r="E57" i="39"/>
  <c r="E56" i="39"/>
  <c r="E55" i="39"/>
  <c r="E54" i="39"/>
  <c r="E53" i="39"/>
  <c r="E30" i="39"/>
  <c r="C22" i="37"/>
  <c r="E76" i="42" l="1"/>
  <c r="E69" i="42"/>
  <c r="D69" i="39"/>
  <c r="E76" i="39" s="1"/>
  <c r="I72" i="38"/>
  <c r="B69" i="38"/>
  <c r="E68" i="38"/>
  <c r="D67" i="38"/>
  <c r="E67" i="38" s="1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F69" i="38"/>
  <c r="E30" i="38"/>
  <c r="C23" i="37"/>
  <c r="C26" i="37" s="1"/>
  <c r="C18" i="37"/>
  <c r="C85" i="36"/>
  <c r="C108" i="36" s="1"/>
  <c r="C79" i="36"/>
  <c r="C69" i="36"/>
  <c r="H52" i="36"/>
  <c r="G52" i="36"/>
  <c r="F52" i="36"/>
  <c r="E52" i="36"/>
  <c r="D52" i="36"/>
  <c r="C52" i="36"/>
  <c r="B52" i="36"/>
  <c r="C39" i="36"/>
  <c r="E28" i="35"/>
  <c r="E31" i="35"/>
  <c r="F31" i="35"/>
  <c r="G31" i="35"/>
  <c r="H31" i="35"/>
  <c r="I31" i="35"/>
  <c r="C31" i="35"/>
  <c r="C68" i="35"/>
  <c r="E25" i="35"/>
  <c r="C25" i="37" l="1"/>
  <c r="C53" i="38"/>
  <c r="C69" i="38" s="1"/>
  <c r="E73" i="38" s="1"/>
  <c r="D53" i="36"/>
  <c r="E69" i="39"/>
  <c r="D69" i="38"/>
  <c r="C28" i="37"/>
  <c r="F53" i="33"/>
  <c r="D53" i="33"/>
  <c r="C52" i="35"/>
  <c r="C62" i="35"/>
  <c r="H41" i="35"/>
  <c r="G41" i="35"/>
  <c r="F41" i="35"/>
  <c r="E41" i="35"/>
  <c r="D41" i="35"/>
  <c r="C41" i="35"/>
  <c r="B41" i="35"/>
  <c r="E69" i="38" l="1"/>
  <c r="E53" i="38"/>
  <c r="D42" i="35"/>
  <c r="C78" i="35" l="1"/>
  <c r="C22" i="34" l="1"/>
  <c r="C23" i="34" s="1"/>
  <c r="C26" i="34" s="1"/>
  <c r="C18" i="34"/>
  <c r="C25" i="34" s="1"/>
  <c r="C28" i="34" l="1"/>
  <c r="I72" i="33" l="1"/>
  <c r="F69" i="33"/>
  <c r="C69" i="33"/>
  <c r="E73" i="33" s="1"/>
  <c r="B69" i="33"/>
  <c r="E68" i="33"/>
  <c r="D67" i="33"/>
  <c r="D69" i="33" s="1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30" i="33"/>
  <c r="C23" i="32"/>
  <c r="C24" i="32" s="1"/>
  <c r="C27" i="32" s="1"/>
  <c r="C20" i="32"/>
  <c r="C26" i="32" s="1"/>
  <c r="E67" i="33" l="1"/>
  <c r="E69" i="33"/>
  <c r="C29" i="32"/>
  <c r="B53" i="31"/>
  <c r="B69" i="31" s="1"/>
  <c r="I72" i="31"/>
  <c r="C69" i="31"/>
  <c r="E68" i="31"/>
  <c r="D67" i="31"/>
  <c r="D69" i="31" s="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30" i="31"/>
  <c r="C23" i="29"/>
  <c r="E73" i="31" l="1"/>
  <c r="E67" i="31"/>
  <c r="E69" i="31"/>
  <c r="F69" i="31"/>
  <c r="I72" i="30"/>
  <c r="E68" i="30"/>
  <c r="D67" i="30"/>
  <c r="E67" i="30" s="1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C69" i="30"/>
  <c r="B69" i="30"/>
  <c r="E30" i="30"/>
  <c r="C24" i="29"/>
  <c r="C27" i="29" s="1"/>
  <c r="C20" i="29"/>
  <c r="C26" i="29" s="1"/>
  <c r="B53" i="27"/>
  <c r="B67" i="27"/>
  <c r="D67" i="27" s="1"/>
  <c r="E67" i="27" s="1"/>
  <c r="D53" i="27"/>
  <c r="E53" i="27" s="1"/>
  <c r="C53" i="27"/>
  <c r="I72" i="27"/>
  <c r="C69" i="27"/>
  <c r="E68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30" i="27"/>
  <c r="B53" i="1"/>
  <c r="D69" i="30" l="1"/>
  <c r="E73" i="30" s="1"/>
  <c r="F53" i="30"/>
  <c r="F69" i="30" s="1"/>
  <c r="E53" i="30"/>
  <c r="C29" i="29"/>
  <c r="D69" i="27"/>
  <c r="E69" i="27" s="1"/>
  <c r="B69" i="27"/>
  <c r="E73" i="27"/>
  <c r="F53" i="27"/>
  <c r="F69" i="27" s="1"/>
  <c r="B11" i="8"/>
  <c r="B7" i="8"/>
  <c r="C5" i="8" s="1"/>
  <c r="C15" i="8"/>
  <c r="C3" i="8"/>
  <c r="E69" i="30" l="1"/>
  <c r="C9" i="8"/>
  <c r="D9" i="8" s="1"/>
  <c r="I72" i="1" l="1"/>
  <c r="A23" i="8" l="1"/>
  <c r="B22" i="8" s="1"/>
  <c r="F53" i="1"/>
  <c r="F69" i="1" l="1"/>
  <c r="D69" i="1"/>
  <c r="C69" i="1"/>
  <c r="B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30" i="1"/>
  <c r="E33" i="1" s="1"/>
  <c r="E73" i="1" l="1"/>
  <c r="E74" i="1" s="1"/>
  <c r="E76" i="1" s="1"/>
  <c r="E29" i="27" s="1"/>
  <c r="E33" i="27" s="1"/>
  <c r="E36" i="1"/>
  <c r="E72" i="1" s="1"/>
  <c r="E69" i="1"/>
  <c r="E36" i="27" l="1"/>
  <c r="E72" i="27" s="1"/>
  <c r="E74" i="27"/>
  <c r="E76" i="27" s="1"/>
  <c r="C22" i="8"/>
  <c r="C31" i="29" l="1"/>
  <c r="C35" i="29" s="1"/>
  <c r="C40" i="29" s="1"/>
  <c r="E29" i="30"/>
  <c r="E33" i="30" s="1"/>
  <c r="E36" i="30" l="1"/>
  <c r="E72" i="30" s="1"/>
  <c r="E74" i="30"/>
  <c r="E76" i="30" s="1"/>
  <c r="C31" i="32" l="1"/>
  <c r="C35" i="32" s="1"/>
  <c r="C40" i="32" s="1"/>
  <c r="C30" i="34" s="1"/>
  <c r="C34" i="34" s="1"/>
  <c r="C39" i="34" s="1"/>
  <c r="C30" i="37" s="1"/>
  <c r="C34" i="37" s="1"/>
  <c r="C39" i="37" s="1"/>
  <c r="C30" i="40" s="1"/>
  <c r="C34" i="40" s="1"/>
  <c r="C39" i="40" s="1"/>
  <c r="C29" i="41" s="1"/>
  <c r="C33" i="41" s="1"/>
  <c r="C38" i="41" s="1"/>
  <c r="E29" i="31"/>
  <c r="E33" i="31" s="1"/>
  <c r="D38" i="41" l="1"/>
  <c r="C31" i="44"/>
  <c r="C35" i="44" s="1"/>
  <c r="C40" i="44" s="1"/>
  <c r="D40" i="44" s="1"/>
  <c r="E36" i="31"/>
  <c r="E72" i="31" s="1"/>
  <c r="E74" i="31"/>
  <c r="E76" i="31" s="1"/>
  <c r="E29" i="33" s="1"/>
  <c r="E33" i="33" s="1"/>
  <c r="E74" i="33" l="1"/>
  <c r="E76" i="33" s="1"/>
  <c r="E29" i="38" s="1"/>
  <c r="E33" i="38" s="1"/>
  <c r="E36" i="33"/>
  <c r="E72" i="33" s="1"/>
  <c r="E36" i="38" l="1"/>
  <c r="E72" i="38" s="1"/>
  <c r="E74" i="38"/>
  <c r="E76" i="38" s="1"/>
  <c r="E29" i="39" s="1"/>
  <c r="E33" i="39" s="1"/>
  <c r="E36" i="39" l="1"/>
  <c r="E75" i="39" s="1"/>
  <c r="E77" i="39"/>
  <c r="E79" i="39" s="1"/>
  <c r="E29" i="42" s="1"/>
  <c r="E33" i="42" s="1"/>
  <c r="E36" i="42" l="1"/>
  <c r="E75" i="42" s="1"/>
  <c r="E77" i="42"/>
  <c r="E79" i="42" s="1"/>
  <c r="E29" i="43" s="1"/>
  <c r="E33" i="43" s="1"/>
  <c r="E36" i="43" l="1"/>
  <c r="E75" i="43" s="1"/>
  <c r="E77" i="43"/>
  <c r="E79" i="43" s="1"/>
</calcChain>
</file>

<file path=xl/sharedStrings.xml><?xml version="1.0" encoding="utf-8"?>
<sst xmlns="http://schemas.openxmlformats.org/spreadsheetml/2006/main" count="1489" uniqueCount="348">
  <si>
    <t>MENSAL: JANEIRO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</si>
  <si>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</si>
  <si>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</si>
  <si>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</si>
  <si>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</si>
  <si>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</si>
  <si>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</si>
  <si>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</si>
  <si>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</si>
  <si>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</si>
  <si>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</si>
  <si>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</si>
  <si>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</si>
  <si>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</si>
  <si>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</si>
  <si>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</si>
  <si>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</si>
  <si>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</si>
  <si>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</si>
  <si>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</si>
  <si>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</si>
  <si>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</si>
  <si>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</si>
  <si>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</si>
  <si>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</si>
  <si>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</si>
  <si>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</si>
  <si>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</si>
  <si>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</si>
  <si>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</si>
  <si>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</si>
  <si>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</si>
  <si>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</si>
  <si>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</si>
  <si>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</si>
  <si>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</si>
  <si>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</si>
  <si>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</si>
  <si>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</si>
  <si>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</si>
  <si>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</si>
  <si>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</si>
  <si>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</si>
  <si>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</si>
  <si>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</si>
  <si>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</si>
  <si>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</si>
  <si>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</si>
  <si>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</si>
  <si>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</si>
  <si>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</si>
  <si>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</si>
  <si>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</si>
  <si>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</si>
  <si>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</si>
  <si>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</si>
  <si>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</si>
  <si>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MENSAL: FEVEREIRO</t>
  </si>
  <si>
    <t>Bruto Folha</t>
  </si>
  <si>
    <t>FGTS</t>
  </si>
  <si>
    <t>Salário PMV</t>
  </si>
  <si>
    <t>Férias</t>
  </si>
  <si>
    <t>13 Salário</t>
  </si>
  <si>
    <t>Uniodonto</t>
  </si>
  <si>
    <t>Unimed</t>
  </si>
  <si>
    <t>INSS</t>
  </si>
  <si>
    <t>IRRF</t>
  </si>
  <si>
    <t>Folha a Pagar</t>
  </si>
  <si>
    <t>Recursos proprios</t>
  </si>
  <si>
    <t xml:space="preserve">Farmacia </t>
  </si>
  <si>
    <t>Julho</t>
  </si>
  <si>
    <t>Vinhedo-SP 18 de Janeiro de 2021</t>
  </si>
  <si>
    <t>ANEXO RP-18 - REPASSES AO TERCEIRO SETOR</t>
  </si>
  <si>
    <t>TERMO DE CIÊNCIA E de NOTIFICAÇÃO AUXÍLIOS/SUBVENÇÕES/CONTRIBUIÇÕES</t>
  </si>
  <si>
    <r>
      <t xml:space="preserve">ÓRGÃO/ENTIDADE PÚBLICO(A): </t>
    </r>
    <r>
      <rPr>
        <sz val="12"/>
        <color theme="1"/>
        <rFont val="Arial"/>
        <family val="2"/>
      </rPr>
      <t>PREFEITURA MUNICIPAL DE VINHEDO</t>
    </r>
  </si>
  <si>
    <r>
      <t xml:space="preserve">ENTIDADE BENEFICIÁRIA: </t>
    </r>
    <r>
      <rPr>
        <sz val="12"/>
        <color theme="1"/>
        <rFont val="Arial"/>
        <family val="2"/>
      </rPr>
      <t>CENTRO DE ESP. INTEGRADAS DE VINHEDO- CEIVI</t>
    </r>
  </si>
  <si>
    <r>
      <t xml:space="preserve">AUXÍLIO/SUBVENÇAO/CONTRIBUIÇÃO : </t>
    </r>
    <r>
      <rPr>
        <sz val="12"/>
        <color theme="1"/>
        <rFont val="Arial"/>
        <family val="2"/>
      </rPr>
      <t>SUBVENÇÃO</t>
    </r>
  </si>
  <si>
    <r>
      <t xml:space="preserve">OBJETO: </t>
    </r>
    <r>
      <rPr>
        <sz val="12"/>
        <color theme="1"/>
        <rFont val="Arial"/>
        <family val="2"/>
      </rPr>
      <t xml:space="preserve">Serviço de Proteção Social Especial para Pessoas com Deficiência e suas Famílias </t>
    </r>
  </si>
  <si>
    <t>ADVOGADO(S): (*)</t>
  </si>
  <si>
    <r>
      <t xml:space="preserve">Na qualidade de Órgão/Entidade Público(a) </t>
    </r>
    <r>
      <rPr>
        <b/>
        <sz val="12"/>
        <color theme="1"/>
        <rFont val="Arial"/>
        <family val="2"/>
      </rPr>
      <t xml:space="preserve">PREFEITURA MUNICIPAL DE VINHEDO </t>
    </r>
    <r>
      <rPr>
        <sz val="12"/>
        <color theme="1"/>
        <rFont val="Arial"/>
        <family val="2"/>
      </rPr>
      <t xml:space="preserve">e Entidade Beneficiária </t>
    </r>
    <r>
      <rPr>
        <b/>
        <sz val="12"/>
        <color theme="1"/>
        <rFont val="Arial"/>
        <family val="2"/>
      </rPr>
      <t>CENTRO DE ESP. INTEGRADAS DE VINHEDO - CEIVI</t>
    </r>
    <r>
      <rPr>
        <sz val="12"/>
        <color theme="1"/>
        <rFont val="Arial"/>
        <family val="2"/>
      </rPr>
      <t>, respectivamente, do Termo acima identificado, e, cientes do seu encaminhamento ao TRIBUNAL DE CONTAS DO ESTADO, para fins de instrução e julgamento, damo-nos por CIENTES e NOTIFICADOS para acompanhar todos os atos da tramitação processual, até julgamento final e sua publicação e, se for o caso e de nosso interesse, para, nos prazos e nas formas legais e regimentais, exercer o direito da defesa, interpor recursos e o mais que couber.</t>
    </r>
  </si>
  <si>
    <t>Outrossim, estamos CIENTES, doravante, de que todos os despachos e decisões que vierem a ser tomados, relativamente ao aludido processo, serão publicados no Diário Oficial do Estado, Caderno do Poder Legislativo, parte do Tribunal de Contas do Estado de São Paulo, de conformidade com o artigo 90 da Lei Complementar n° 709, de 14 de janeiro de 1993, iniciando-se, a partir de então, a contagem dos prazos processuais.</t>
  </si>
  <si>
    <t>ÓRGÃO/ENTIDADE PÚBLICO(A): PREFEITURA MUNICIPAL DE VINHEDO</t>
  </si>
  <si>
    <t>E-mail institucional:</t>
  </si>
  <si>
    <t>E-mail pessoal:</t>
  </si>
  <si>
    <t>Assinatura: ________________________________________________________________</t>
  </si>
  <si>
    <r>
      <t>ENTIDADE BENEFICIÁRIA: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CENTRO DE ESP. INTEGRADAS DE VINHEDO</t>
    </r>
  </si>
  <si>
    <r>
      <t xml:space="preserve">Nome e cargo: </t>
    </r>
    <r>
      <rPr>
        <b/>
        <sz val="12"/>
        <color theme="1"/>
        <rFont val="Arial"/>
        <family val="2"/>
      </rPr>
      <t>LUCIANA IENNE - PRESIDENTE</t>
    </r>
  </si>
  <si>
    <t>E-mail institucional: ceivi@ceivi.org.br</t>
  </si>
  <si>
    <t>E-mail pessoal: presidente@ceivi.org.br</t>
  </si>
  <si>
    <t>Assinatura: _________________________________________________________________</t>
  </si>
  <si>
    <t>(*) Facultativo. Indicar quando já constituído.</t>
  </si>
  <si>
    <r>
      <t>Nome e cargo:</t>
    </r>
    <r>
      <rPr>
        <b/>
        <sz val="12"/>
        <color theme="1"/>
        <rFont val="Arial"/>
        <family val="2"/>
      </rPr>
      <t xml:space="preserve"> DARIO PACHECO – PREFEITO MUNICIPAL</t>
    </r>
  </si>
  <si>
    <t xml:space="preserve">ANEXO RP-19 - REPASSES AO TERCEIRO SETOR </t>
  </si>
  <si>
    <t>CADASTRO DO RESPONSÁVEL - AUXÍLIOS / SUBVENÇÕES / CONTRIBUIÇÕES</t>
  </si>
  <si>
    <t>ÓRGÃO CONCESSOR: PREFEITURA MUNICIPAL DE VINHEDO</t>
  </si>
  <si>
    <t>ENTIDADE BENEFICIÁRIA: CENTRO ESP. INTEGRADAS DE VINHEDO - CEIVI</t>
  </si>
  <si>
    <t>Nome do Ordenador de Despesa</t>
  </si>
  <si>
    <t>LUCIANA IENNE</t>
  </si>
  <si>
    <t>Cargo</t>
  </si>
  <si>
    <t>Presidente</t>
  </si>
  <si>
    <t>CPF</t>
  </si>
  <si>
    <t>119.253.768-85</t>
  </si>
  <si>
    <t>Endereço(*)</t>
  </si>
  <si>
    <t>Rua Regina Trevisan Giuncon – 374 – Jardim Panorama – Vinhedo/SP CEP: 13.263-536</t>
  </si>
  <si>
    <t>Telefone</t>
  </si>
  <si>
    <t>(19) 3826-7555</t>
  </si>
  <si>
    <t>e-mail</t>
  </si>
  <si>
    <t>ceivi@ceivi.org.br</t>
  </si>
  <si>
    <t>Responsável pelo atendimento às requisições de documentos do TCESP</t>
  </si>
  <si>
    <t>Nome</t>
  </si>
  <si>
    <t>Gisele Bucatte</t>
  </si>
  <si>
    <t>Coordenadora de Administração e Sustentabilidade</t>
  </si>
  <si>
    <t>Endereço Comercial do Órgão/Setor</t>
  </si>
  <si>
    <t>Av. Pascoa Zanetti Trevisa – 479 – Jardim Itália – Vinhedo/SP</t>
  </si>
  <si>
    <t>Telefone/Fax</t>
  </si>
  <si>
    <t>_______________________________________________</t>
  </si>
  <si>
    <t>Presidente do CEIVI</t>
  </si>
  <si>
    <t>Vinhedo-SP 18 de janeiro de 2021</t>
  </si>
  <si>
    <t>(*) Não deve ser o endereço do Órgão e/ou Poder. Deve ser endereço onde poderá ser encontrado (a), caso não esteja mais exercendo o mandato ou cargo</t>
  </si>
  <si>
    <r>
      <t xml:space="preserve">N° DA LEI AUTORIZADORA: </t>
    </r>
    <r>
      <rPr>
        <sz val="11"/>
        <color theme="1"/>
        <rFont val="Arial"/>
        <family val="2"/>
      </rPr>
      <t>Lei Federal 13.019/2014 e Decreto Municipal: 3.921 de 19 de dezembro 2019</t>
    </r>
  </si>
  <si>
    <t>NÚMERO DA LEI AUTORIZADORA: Lei Federal 13.019/2014 e Decreto Municipal: 3.921 de 19 de dezembro 2019</t>
  </si>
  <si>
    <t>OBJETO: Serviço de Proteção Social Especial para Pessoas com Deficiência e suas Famílias</t>
  </si>
  <si>
    <t>PREFEITURA MUNICIPAL DE VINHEDO</t>
  </si>
  <si>
    <t>Estado de São Paulo</t>
  </si>
  <si>
    <t>REPASSES AO TERCEIRO SETOR</t>
  </si>
  <si>
    <t>ATESTADO DE EXISTÊNCIA E FUNCIONAMENTO DE FATO</t>
  </si>
  <si>
    <r>
      <t xml:space="preserve">ÓRGÃO CONCESSOR: </t>
    </r>
    <r>
      <rPr>
        <sz val="11"/>
        <color theme="1"/>
        <rFont val="Arial"/>
        <family val="2"/>
      </rPr>
      <t>PREFEITURA MUNICIPAL DE VINHEDO</t>
    </r>
  </si>
  <si>
    <r>
      <t xml:space="preserve">TIPO DE CONCESSÃO: </t>
    </r>
    <r>
      <rPr>
        <sz val="11"/>
        <color theme="1"/>
        <rFont val="Arial"/>
        <family val="2"/>
      </rPr>
      <t>Subvenção</t>
    </r>
  </si>
  <si>
    <r>
      <t xml:space="preserve">OBJETO: </t>
    </r>
    <r>
      <rPr>
        <sz val="11"/>
        <color theme="1"/>
        <rFont val="Arial"/>
        <family val="2"/>
      </rPr>
      <t>Serviço de Proteção social Especial para Pessoas com Deficiência e suas Famílias.</t>
    </r>
  </si>
  <si>
    <r>
      <t>ENTIDADE BENEFICIÁRIA:</t>
    </r>
    <r>
      <rPr>
        <sz val="11"/>
        <color theme="1"/>
        <rFont val="Arial"/>
        <family val="2"/>
      </rPr>
      <t xml:space="preserve"> CENTRO DE ESP. INTEGRADAS DE VINHEDO - CEIVI</t>
    </r>
    <r>
      <rPr>
        <b/>
        <sz val="11"/>
        <color theme="1"/>
        <rFont val="Arial"/>
        <family val="2"/>
      </rPr>
      <t xml:space="preserve"> </t>
    </r>
  </si>
  <si>
    <r>
      <t xml:space="preserve">CNPJ: </t>
    </r>
    <r>
      <rPr>
        <sz val="11"/>
        <color theme="1"/>
        <rFont val="Arial"/>
        <family val="2"/>
      </rPr>
      <t>52.363.744/0001-74</t>
    </r>
  </si>
  <si>
    <r>
      <t xml:space="preserve">RESPONSÁVEL PELA ENTIDADE: </t>
    </r>
    <r>
      <rPr>
        <sz val="11"/>
        <color theme="1"/>
        <rFont val="Arial"/>
        <family val="2"/>
      </rPr>
      <t>LUCIANA IENNE</t>
    </r>
  </si>
  <si>
    <t>Secretário(a) Municipal da Assistência Social de Vinhedo</t>
  </si>
  <si>
    <t>VALOR TOTAL RECEBIDO: 229.010,00 (Duzentos e Vinte e Nove Mil e Dez Reais)</t>
  </si>
  <si>
    <r>
      <t xml:space="preserve">LEI AUTORIZADORA: </t>
    </r>
    <r>
      <rPr>
        <sz val="11"/>
        <color theme="1"/>
        <rFont val="Arial"/>
        <family val="2"/>
      </rPr>
      <t>Lei Federal 13.019/2014 e Decreto Municipal: 3.921 de 19 de dezembro 2019</t>
    </r>
  </si>
  <si>
    <r>
      <t xml:space="preserve">EXERCÍCIO: </t>
    </r>
    <r>
      <rPr>
        <sz val="11"/>
        <color theme="1"/>
        <rFont val="Arial"/>
        <family val="2"/>
      </rPr>
      <t>2020</t>
    </r>
  </si>
  <si>
    <t>Cristina Mazon, Secretário(a) Municipal da Assistência Socia, ATESTA a existência de fato e o funcionamento do CENTRO DE ESP. INTEGRADAS DE VINHEDO-CEIVI, na Av. Pascoa Zanetti Trevisan – 479 – Jardim Itália, Cidade Vinhedo, Estado de São Paulo, relativamente o exercício de 2020.</t>
  </si>
  <si>
    <r>
      <t>ENDEREÇO</t>
    </r>
    <r>
      <rPr>
        <sz val="11"/>
        <color theme="1"/>
        <rFont val="Arial"/>
        <family val="2"/>
      </rPr>
      <t>: Av. Pascoa Zanetti Trevisan – 479 – Jardim Itália</t>
    </r>
    <r>
      <rPr>
        <b/>
        <sz val="11"/>
        <color theme="1"/>
        <rFont val="Arial"/>
        <family val="2"/>
      </rPr>
      <t xml:space="preserve"> e CEP</t>
    </r>
    <r>
      <rPr>
        <sz val="11"/>
        <color theme="1"/>
        <rFont val="Arial"/>
        <family val="2"/>
      </rPr>
      <t>: 13.289-172</t>
    </r>
  </si>
  <si>
    <t>ATESTADO DE REGULARIDADE DOS GASTOS</t>
  </si>
  <si>
    <t>O Conselho Fiscal do CENTRO DE ESPECIALIDADES INTEGRADAS DE VINHEDO – CEIVI ATESTA, relativamente à execução do Convênio/Termo Aditivo N.º20/2018 – Exercício 2020, a regularidade dos gastos efetuados e sua perfeita contabilização.</t>
  </si>
  <si>
    <t>Conselheira</t>
  </si>
  <si>
    <t>Fernando Luiz Matheus Mazon                                                                           Olga Tizuko Alves</t>
  </si>
  <si>
    <t xml:space="preserve">                Conselheiro                                                                                               Conselheira</t>
  </si>
  <si>
    <t xml:space="preserve">Aline Cristina Bezerra Guimarães  </t>
  </si>
  <si>
    <t>TÉCNICO CONTÁBIL</t>
  </si>
  <si>
    <t>DECLARAÇÃO DE GUARDA E CONSERVAÇÃO DOS DOCUMENTOS CONTÁBEIS</t>
  </si>
  <si>
    <t>Convenente: PREFEITURA MUNICIPAL DE VINHEDO</t>
  </si>
  <si>
    <t>Conveniada: CENTRO DE ESPECIALIDADES INTEGRADAS DE VINHEDO – CEIVI</t>
  </si>
  <si>
    <t>CONVÊNIO/TA N.º: 20/2018</t>
  </si>
  <si>
    <t>Declaração</t>
  </si>
  <si>
    <t>Declaramos para os devidos fins de direito que os Documentos Contábeis referentes à Prestação de Contas do Convênio em epígrafe, encontram-se guardados, arquivados em boa ordem e conservação, identificados e à disposição da Prefeitura Municipal de Vinhedo e do Tribunal de Contas do Estado de São Paulo.</t>
  </si>
  <si>
    <t>____________________________________________</t>
  </si>
  <si>
    <t>PRESIDENTE</t>
  </si>
  <si>
    <t>____________________________________</t>
  </si>
  <si>
    <t>JOSÉ THEOTONIO</t>
  </si>
  <si>
    <t>VIGÊNCIA: 01/01/2020 a 31/12/2020</t>
  </si>
  <si>
    <t>Objeto:  Serviço de Proteção social Especial para Pessoas com Deficiência e suas Famílias.</t>
  </si>
  <si>
    <t>DECLARAÇÃO DA EXATIDÃO DO MONTANTE COMPROVADO</t>
  </si>
  <si>
    <t>ATESTADO DE MOVIMENTAÇÃO EM CONTA CORRENTE</t>
  </si>
  <si>
    <r>
      <t>O Conselho Fiscal</t>
    </r>
    <r>
      <rPr>
        <b/>
        <sz val="12"/>
        <color theme="1"/>
        <rFont val="Arial"/>
        <family val="2"/>
      </rPr>
      <t xml:space="preserve"> do CENTRO DE ESPECIALIDADES INTEGRADAS DE VINHEDO-CEIVI</t>
    </r>
    <r>
      <rPr>
        <sz val="12"/>
        <color theme="1"/>
        <rFont val="Arial"/>
        <family val="2"/>
      </rPr>
      <t xml:space="preserve">, DECLARA, relativamente ao Termo de Convênio N.º 20/2018 – Exercício 2020, a exatidão do montante comprovado, ATESTANDO, ainda que os recursos públicos foram movimentados em conta específica no Banco </t>
    </r>
    <r>
      <rPr>
        <b/>
        <sz val="12"/>
        <color theme="1"/>
        <rFont val="Arial"/>
        <family val="2"/>
      </rPr>
      <t>CAIXA ECONÔMICA FEDERAL</t>
    </r>
    <r>
      <rPr>
        <sz val="12"/>
        <color theme="1"/>
        <rFont val="Arial"/>
        <family val="2"/>
      </rPr>
      <t xml:space="preserve">–Ag. </t>
    </r>
    <r>
      <rPr>
        <b/>
        <sz val="12"/>
        <color theme="1"/>
        <rFont val="Arial"/>
        <family val="2"/>
      </rPr>
      <t>1185</t>
    </r>
    <r>
      <rPr>
        <sz val="12"/>
        <color theme="1"/>
        <rFont val="Arial"/>
        <family val="2"/>
      </rPr>
      <t xml:space="preserve">, Conta </t>
    </r>
    <r>
      <rPr>
        <b/>
        <sz val="12"/>
        <color theme="1"/>
        <rFont val="Arial"/>
        <family val="2"/>
      </rPr>
      <t>2179-7</t>
    </r>
    <r>
      <rPr>
        <sz val="12"/>
        <color theme="1"/>
        <rFont val="Arial"/>
        <family val="2"/>
      </rPr>
      <t>.</t>
    </r>
  </si>
  <si>
    <t>MEMBROS DO CONSELHO FISCAL:</t>
  </si>
  <si>
    <t>DECLARAÇÃO RELATIVA AO DIRIGENTE DA ENTIDADE NO EXERCÍCIO</t>
  </si>
  <si>
    <t>RG</t>
  </si>
  <si>
    <t>18.674.360-9</t>
  </si>
  <si>
    <t>Endereço (pessoal)</t>
  </si>
  <si>
    <t>Telefone (pessoal)</t>
  </si>
  <si>
    <t>E-mail do Dirigente (pessoal)</t>
  </si>
  <si>
    <t>presidente@ceivi.org.br</t>
  </si>
  <si>
    <t>E-mail da Entidade</t>
  </si>
  <si>
    <t xml:space="preserve">OFÍCIO AO PREFEITO </t>
  </si>
  <si>
    <t>Exmo.Sr. Prefeito Municipal</t>
  </si>
  <si>
    <t>Aproveitando a oportunidade para apresentar-vos nossos protestos de estima e consideração.</t>
  </si>
  <si>
    <t>Dario Pacheco</t>
  </si>
  <si>
    <t>Encaminhamos a Vossa Excelência, para apreciação, a Prestação de Contas das parcelas recebidas no exercício de 2020, proveniente dos recursos repassados pelo Município através do Convênio nº 20/2018, composta dos seguintes documentos:</t>
  </si>
  <si>
    <r>
      <t>01.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 do Termo de Convênio;</t>
    </r>
  </si>
  <si>
    <r>
      <t>02.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 do Plano de Trabalho 2020;</t>
    </r>
  </si>
  <si>
    <r>
      <t>03.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 da Ata entidade (com eleição dos membros ano);</t>
    </r>
  </si>
  <si>
    <r>
      <t>04.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 da Ata da entidade (com a apreciação das contas pelo Conselho Fiscal e justificativa da mudança de gastos previstos no Plano de Trabalho, se houver);</t>
    </r>
  </si>
  <si>
    <r>
      <t>05.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Planilha com movimentação financeira</t>
    </r>
  </si>
  <si>
    <r>
      <t>06.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Demonstrativo Integral das Receitas e Despesas - Anexo 14</t>
    </r>
  </si>
  <si>
    <r>
      <t>07.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Planilha com movimentação financeira (demonstrações contábeis e financeiras, balancete analítico – expedido e assinado pelo contador)</t>
    </r>
  </si>
  <si>
    <r>
      <t>08.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 das Notas Fiscais e/ou Faturas;(ordem cronológica)</t>
    </r>
  </si>
  <si>
    <r>
      <t>09.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Orçamentos;(com CNPJ e em ordem cronológica)</t>
    </r>
  </si>
  <si>
    <r>
      <t>10.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Cópias de cheques emitidos; (ordem cronológica)</t>
    </r>
  </si>
  <si>
    <r>
      <t>11.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 dos extratos bancários,</t>
    </r>
  </si>
  <si>
    <r>
      <t>12.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Cópia dos extratos da aplicação financeira,</t>
    </r>
  </si>
  <si>
    <r>
      <t>13.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Conciliação Bancária,</t>
    </r>
  </si>
  <si>
    <r>
      <t>14.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Declaração de guarda e conservação dos documentos contábeis-contador/dirigente;</t>
    </r>
  </si>
  <si>
    <r>
      <t>15.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Parecer do Conselho Fiscal,</t>
    </r>
  </si>
  <si>
    <r>
      <t>16.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 xml:space="preserve">Manifestação expressa do </t>
    </r>
    <r>
      <rPr>
        <u/>
        <sz val="10"/>
        <color theme="1"/>
        <rFont val="Arial"/>
        <family val="2"/>
      </rPr>
      <t>Conselho Fiscal</t>
    </r>
    <r>
      <rPr>
        <sz val="10"/>
        <color theme="1"/>
        <rFont val="Arial"/>
        <family val="2"/>
      </rPr>
      <t xml:space="preserve"> ou Órgão correspondente do beneficiário sobre a exatidão do montante comprovado, atestando que os recursos públicos foram movimentados em conta específica, aberta em instituição financeira oficial indicada pelo Órgão Público concessor;</t>
    </r>
  </si>
  <si>
    <r>
      <t>17.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Atestado de regularidade dos gastos efetuados e sua perfeita contabilização, atestado pelo controle interno do beneficiário (Conselho Fiscal);</t>
    </r>
  </si>
  <si>
    <r>
      <t>18.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Atestado confirmando a existência de fato e do funcionamento da entidade, relativa ao período de concessão (Secretaria de Promoção e Assistência Social);</t>
    </r>
  </si>
  <si>
    <r>
      <t>19.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 xml:space="preserve"> Termo de ciência e notificação, assinado pelo Prefeito Municipal e pelo representante da entidade, relativo à tramitação do processo perante o TCE/SP – Anexo RP-18</t>
    </r>
  </si>
  <si>
    <r>
      <t>20.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Arial"/>
        <family val="2"/>
      </rPr>
      <t>Declaração assinada, constando dados relativos ao dirigente da entidade no exercício.</t>
    </r>
  </si>
  <si>
    <t xml:space="preserve">Atenciosamente, </t>
  </si>
  <si>
    <t>Assinatura</t>
  </si>
  <si>
    <t>Fernando Luiz Matheus Mazon</t>
  </si>
  <si>
    <t>Olga Tizuko Alves</t>
  </si>
  <si>
    <t>6.718.969-6</t>
  </si>
  <si>
    <t>Aline Cristina Bezerra Guimarães</t>
  </si>
  <si>
    <t>45.790.449-5</t>
  </si>
  <si>
    <t>Parecer do Conselho Fiscal da Entidade</t>
  </si>
  <si>
    <t>01/2021*</t>
  </si>
  <si>
    <t>01/01/2021 A 31/12/2021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</si>
  <si>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</si>
  <si>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Vinhedo-SP 10 de Fevereiro de 2021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</si>
  <si>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2021
ORIGEM DOS RECURSOS (1):  MUNICIPAL</t>
  </si>
  <si>
    <t>02/2021*</t>
  </si>
  <si>
    <t>Vinhedo-SP 10 de março de 2021</t>
  </si>
  <si>
    <t>RECURSOS PRÓPRIOS DA ENTIDADE PARCEIRA</t>
  </si>
  <si>
    <t>TARIFA BANCÁRIA</t>
  </si>
  <si>
    <t>VALOR</t>
  </si>
  <si>
    <t>FECHAMENTO DO EXERCÍCIO</t>
  </si>
  <si>
    <t>SALDO DO EXERCÍCIO ANTERIOR</t>
  </si>
  <si>
    <t>RECEITAS COM APLICAÇÃO FINANCEIRA DOS REPASSES PUBLICOS</t>
  </si>
  <si>
    <t>REPASSE PÚBLICO NO EXERCÍCIO</t>
  </si>
  <si>
    <t>TOTAL DE RECURSOS DISPONÍVEIS NO EXERCÍCIO</t>
  </si>
  <si>
    <t>MENSAL: MARÇO</t>
  </si>
  <si>
    <t>03/2021*</t>
  </si>
  <si>
    <t>CONCILIAÇÃO BANCÁRIA - MARÇO DE 2021</t>
  </si>
  <si>
    <t>FOLHA DE PAGAMENTO COMPETÊNCIA 02/2021</t>
  </si>
  <si>
    <t>FGTS COMPETÊNCIA 02/2021</t>
  </si>
  <si>
    <t>IRRF COMPETÊNCIA 02/2021</t>
  </si>
  <si>
    <t>INSS COMPETÊNCIA 02/2021</t>
  </si>
  <si>
    <t>FOLHA DE PAGAMENTO COMPETÊNCIA 03/2021 - UNIODONTO CAMPINAS</t>
  </si>
  <si>
    <t>Vinhedo-SP 10 de abril de 2021</t>
  </si>
  <si>
    <t>MENSAL: ABRIL</t>
  </si>
  <si>
    <t>04/2021*</t>
  </si>
  <si>
    <t>CONCILIAÇÃO BANCÁRIA - ABRIL DE 2021</t>
  </si>
  <si>
    <t>FOLHA DE PAGAMENTO COMPETÊNCIA 03/2021</t>
  </si>
  <si>
    <t>FGTS COMPETÊNCIA 03/2021</t>
  </si>
  <si>
    <t>IRRF COMPETÊNCIA 03/2021</t>
  </si>
  <si>
    <t>INSS COMPETÊNCIA 03/2021</t>
  </si>
  <si>
    <t>FOLHA DE PAGAMENTO COMPETÊNCIA 04/2021 - UNIODONTO CAMPINAS</t>
  </si>
  <si>
    <t>Vinhedo-SP 10 de maio de 2021</t>
  </si>
  <si>
    <t>MENSAL: MAIO</t>
  </si>
  <si>
    <t>05/2021*</t>
  </si>
  <si>
    <t>CONCILIAÇÃO BANCÁRIA - MAIO DE 2021</t>
  </si>
  <si>
    <t>FOLHA DE PAGAMENTO COMPETÊNCIA 04/2021</t>
  </si>
  <si>
    <t>FGTS COMPETÊNCIA 04/2021</t>
  </si>
  <si>
    <t>IRRF COMPETÊNCIA 04/2021</t>
  </si>
  <si>
    <t>INSS COMPETÊNCIA 04/2021</t>
  </si>
  <si>
    <t>FOLHA DE PAGAMENTO COMPETÊNCIA 05/2021 - UNIODONTO CAMPINAS</t>
  </si>
  <si>
    <t>FOLHA DE PAGAMENTO COMPETÊNCIA 05/2021 - FÉRIAS</t>
  </si>
  <si>
    <t>DEPARTAMENTO:</t>
  </si>
  <si>
    <t>Departamento-2</t>
  </si>
  <si>
    <t>Parceiro de Negócio</t>
  </si>
  <si>
    <t>Liquido</t>
  </si>
  <si>
    <t>Mês</t>
  </si>
  <si>
    <t>ASSISTÊNCIA</t>
  </si>
  <si>
    <t>Camila Fernanda F. J. Palhares</t>
  </si>
  <si>
    <t>Janeiro</t>
  </si>
  <si>
    <t>Silene Henrique Bertolini</t>
  </si>
  <si>
    <t>Veriam dos Santos Bassan</t>
  </si>
  <si>
    <t>Fevereiro</t>
  </si>
  <si>
    <t>Março</t>
  </si>
  <si>
    <t>Abril</t>
  </si>
  <si>
    <t>Maio</t>
  </si>
  <si>
    <t>RESUMO DO PAGAMENTO</t>
  </si>
  <si>
    <t>Pagamentos</t>
  </si>
  <si>
    <t>FOLHA</t>
  </si>
  <si>
    <t>UNIODONTO</t>
  </si>
  <si>
    <t>UNIMED</t>
  </si>
  <si>
    <t>FARMACIA</t>
  </si>
  <si>
    <t>Total Folha:</t>
  </si>
  <si>
    <t>Bruto Folha de pagamento</t>
  </si>
  <si>
    <t xml:space="preserve">TOTAL FOLHA  </t>
  </si>
  <si>
    <t>DEDUÇÃO BASE</t>
  </si>
  <si>
    <t>DESCONTOS</t>
  </si>
  <si>
    <t>LIQUIDO FÉRIAS</t>
  </si>
  <si>
    <t>RESCISÃO</t>
  </si>
  <si>
    <t>Folha</t>
  </si>
  <si>
    <t>Valor</t>
  </si>
  <si>
    <t>MAIO</t>
  </si>
  <si>
    <t>CEIVI</t>
  </si>
  <si>
    <t>MÊS</t>
  </si>
  <si>
    <t>MARÇO</t>
  </si>
  <si>
    <t xml:space="preserve">CONFERENCIA FOLHA DE PAGAMENTO </t>
  </si>
  <si>
    <t>Vinhedo-SP 10 de junho de 2021</t>
  </si>
  <si>
    <t>JUNHO</t>
  </si>
  <si>
    <t>RESUMO FOLHA DE PAGAMENTO - COMPETÊNCIA 06/2021</t>
  </si>
  <si>
    <t>Coluna1</t>
  </si>
  <si>
    <t>DEPARTAMENTO: ASSISTÊNCIA</t>
  </si>
  <si>
    <t>CONCILIAÇÃO BANCÁRIA - JUNHO DE 2021</t>
  </si>
  <si>
    <t>FOLHA DE PAGAMENTO COMPETÊNCIA 05/2021</t>
  </si>
  <si>
    <t>FGTS COMPETÊNCIA 05/2021</t>
  </si>
  <si>
    <t>IRRF COMPETÊNCIA 05/2021</t>
  </si>
  <si>
    <t>INSS COMPETÊNCIA 05/2021</t>
  </si>
  <si>
    <t>FOLHA DE PAGAMENTO COMPETÊNCIA 06/2021 - UNIODONTO CAMPINAS</t>
  </si>
  <si>
    <t>MENSAL: JUNHO</t>
  </si>
  <si>
    <t>MENSAL: JULHO</t>
  </si>
  <si>
    <t>07/2021*</t>
  </si>
  <si>
    <t>JULHO</t>
  </si>
  <si>
    <t>CONCILIAÇÃO BANCÁRIA - JULHO DE 2021</t>
  </si>
  <si>
    <t>FOLHA DE PAGAMENTO COMPETÊNCIA 06/2021</t>
  </si>
  <si>
    <t>FGTS COMPETÊNCIA 06/2021</t>
  </si>
  <si>
    <t>IRRF COMPETÊNCIA 06/2021</t>
  </si>
  <si>
    <t>INSS COMPETÊNCIA 06/2021</t>
  </si>
  <si>
    <t>FOLHA DE PAGAMENTO COMPETÊNCIA 07/2021 - UNIODONTO CAMPINAS</t>
  </si>
  <si>
    <t>FOLHA DE PAGAMENTO COMPETÊNCIA 07/2021 - FÉRIAS</t>
  </si>
  <si>
    <t>Vinhedo-SP 10 de agosto de 2021</t>
  </si>
  <si>
    <t>AGOSTO</t>
  </si>
  <si>
    <t>CONCILIAÇÃO BANCÁRIA - AGOSTO DE 2021</t>
  </si>
  <si>
    <t>FOLHA DE PAGAMENTO COMPETÊNCIA 07/2021</t>
  </si>
  <si>
    <t>FGTS COMPETÊNCIA 07/2021</t>
  </si>
  <si>
    <t>IRRF COMPETÊNCIA 07/2021</t>
  </si>
  <si>
    <t>INSS COMPETÊNCIA 07/2021</t>
  </si>
  <si>
    <t>MENSAL: AGOSTO</t>
  </si>
  <si>
    <t>08/2021*</t>
  </si>
  <si>
    <t>Vinhedo-SP 10 de setembro de 2021</t>
  </si>
  <si>
    <t>FOLHA DE PAGAMENTO COMPETÊNCIA 08/2021 - UNIODONTO CAMPINAS</t>
  </si>
  <si>
    <t>MENSAL: SETEMBRO</t>
  </si>
  <si>
    <t>09/2021*</t>
  </si>
  <si>
    <t>SETEMBRO</t>
  </si>
  <si>
    <t>RESUMO FOLHA DE PAGAMENTO - COMPETÊNCIA 09/2021</t>
  </si>
  <si>
    <t>CONCILIAÇÃO BANCÁRIA - SETEMBRO DE 2021</t>
  </si>
  <si>
    <t>FOLHA DE PAGAMENTO COMPETÊNCIA 08/2021</t>
  </si>
  <si>
    <t>FGTS COMPETÊNCIA 08/2021</t>
  </si>
  <si>
    <t>IRRF COMPETÊNCIA 08/2021</t>
  </si>
  <si>
    <t>INSS COMPETÊNCIA 08/2021</t>
  </si>
  <si>
    <t>FOLHA DE PAGAMENTO COMPETÊNCIA 09/2021</t>
  </si>
  <si>
    <t>FOLHA DE PAGAMENTO COMPETÊNCIA 09/2021 - FARMACIA</t>
  </si>
  <si>
    <t>FOLHA DE PAGAMENTO COMPETÊNCIA 09/2021 - UNIODONTO CAMPINAS</t>
  </si>
  <si>
    <t>Vinhedo-SP 10 de outubro de 2021</t>
  </si>
  <si>
    <t xml:space="preserve">DATA </t>
  </si>
  <si>
    <t>Valores</t>
  </si>
  <si>
    <t>zeramento</t>
  </si>
  <si>
    <t>Valores2</t>
  </si>
  <si>
    <t>Valores3</t>
  </si>
  <si>
    <t>Valores4</t>
  </si>
  <si>
    <t>Valores5</t>
  </si>
  <si>
    <t>Total</t>
  </si>
  <si>
    <t>Recursos Humanos (5)</t>
  </si>
  <si>
    <r>
      <t xml:space="preserve">COLABORAÇÃO/FOMENTO: </t>
    </r>
    <r>
      <rPr>
        <b/>
        <sz val="10"/>
        <color theme="1"/>
        <rFont val="Arial"/>
        <family val="2"/>
      </rPr>
      <t>PROGRAMA 1133, AÇÃO  2143 NR 08.11.12.363 e NR 08.05.12.367</t>
    </r>
    <r>
      <rPr>
        <sz val="10"/>
        <color theme="1"/>
        <rFont val="Arial"/>
        <family val="2"/>
      </rPr>
      <t xml:space="preserve">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</t>
    </r>
    <r>
      <rPr>
        <b/>
        <sz val="10"/>
        <color theme="1"/>
        <rFont val="Arial"/>
        <family val="2"/>
      </rPr>
      <t>Promover a pessoa com deficiência intelectual e autismo um conjunto de ações articuladas em rede, com o compartilhamento de informações via sistema informatizado e/ou relatórios entre os serviços parceiros (Saúde, Educação e Assistência Social), ofertas diversificadas de atenção para construção de um plano de trabalho que visa à promoção e a reabilitação em saúde</t>
    </r>
    <r>
      <rPr>
        <sz val="10"/>
        <color theme="1"/>
        <rFont val="Arial"/>
        <family val="2"/>
      </rPr>
      <t xml:space="preserve">
EXERCÍCIO: 2023
ORIGEM DOS RECURSOS (1):  MUNICIPAL</t>
    </r>
  </si>
  <si>
    <r>
      <t xml:space="preserve">Termo de Colaboração/Fomento: </t>
    </r>
    <r>
      <rPr>
        <b/>
        <sz val="7"/>
        <color theme="1"/>
        <rFont val="Arial"/>
        <family val="2"/>
      </rPr>
      <t>PROGRAMA 1133, AÇÃO  2143 NR 08.11.12.363 e NR 08.05.12.367</t>
    </r>
  </si>
  <si>
    <t>01/01/23 A 31/01/23</t>
  </si>
  <si>
    <t>01/01/2023 A 31/12/2023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</si>
  <si>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exercício/2023 bem como as despesas a pagar no exercício seguinte.</t>
    </r>
  </si>
  <si>
    <t>Vinhedo-SP 10 de fevereiro de 2023</t>
  </si>
  <si>
    <t>JANEIRO DE 2023</t>
  </si>
  <si>
    <t>MÊS:</t>
  </si>
  <si>
    <t>FEVEREIRO 2023*</t>
  </si>
  <si>
    <r>
      <t xml:space="preserve">COLABORAÇÃO/FOMENTO: </t>
    </r>
    <r>
      <rPr>
        <b/>
        <sz val="10"/>
        <color theme="1"/>
        <rFont val="Arial"/>
        <family val="2"/>
      </rPr>
      <t>013/2023 - EDUCAÇÃO</t>
    </r>
    <r>
      <rPr>
        <sz val="10"/>
        <color theme="1"/>
        <rFont val="Arial"/>
        <family val="2"/>
      </rPr>
      <t xml:space="preserve">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</t>
    </r>
    <r>
      <rPr>
        <b/>
        <sz val="10"/>
        <color theme="1"/>
        <rFont val="Arial"/>
        <family val="2"/>
      </rPr>
      <t>Promover a pessoa com deficiência intelectual e autismo um conjunto de ações articuladas em rede, com o compartilhamento de informações via sistema informatizado e/ou relatórios entre os serviços parceiros (Saúde, Educação e Assistência Social), ofertas diversificadas de atenção para construção de um plano de trabalho que visa à promoção e a reabilitação em saúde</t>
    </r>
    <r>
      <rPr>
        <sz val="10"/>
        <color theme="1"/>
        <rFont val="Arial"/>
        <family val="2"/>
      </rPr>
      <t xml:space="preserve">
EXERCÍCIO: 2023
ORIGEM DOS RECURSOS (1):  MUNICIPAL</t>
    </r>
  </si>
  <si>
    <r>
      <t xml:space="preserve">Termo de Colaboração/Fomento: </t>
    </r>
    <r>
      <rPr>
        <b/>
        <sz val="7"/>
        <color theme="1"/>
        <rFont val="Arial"/>
        <family val="2"/>
      </rPr>
      <t>013/2023</t>
    </r>
  </si>
  <si>
    <t>01/02/2023 A 28/02/2023</t>
  </si>
  <si>
    <t>Recursos humanos (5) PMV</t>
  </si>
  <si>
    <t>Recursos humanos (6) CEIVI</t>
  </si>
  <si>
    <t>Vinhedo-SP 10 de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</si>
</sst>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_ ;\-#,##0.0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rgb="FFFFFFFF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3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8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5"/>
      <color rgb="FF000000"/>
      <name val="Arial Narrow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7.5"/>
      <color theme="1"/>
      <name val="Arial"/>
      <family val="2"/>
    </font>
    <font>
      <sz val="7.5"/>
      <name val="Arial"/>
      <family val="2"/>
    </font>
    <font>
      <sz val="7.5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</cellStyleXfs>
  <cellXfs count="30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4" borderId="0" xfId="1" applyFont="1" applyFill="1" applyBorder="1" applyAlignment="1">
      <alignment horizontal="center" vertical="center"/>
    </xf>
    <xf numFmtId="0" fontId="0" fillId="4" borderId="3" xfId="0" applyFill="1" applyBorder="1"/>
    <xf numFmtId="44" fontId="0" fillId="4" borderId="3" xfId="1" applyFont="1" applyFill="1" applyBorder="1"/>
    <xf numFmtId="44" fontId="0" fillId="8" borderId="1" xfId="0" applyNumberFormat="1" applyFill="1" applyBorder="1"/>
    <xf numFmtId="44" fontId="0" fillId="0" borderId="1" xfId="1" applyFont="1" applyBorder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7" fillId="0" borderId="0" xfId="0" applyFont="1"/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21" fillId="0" borderId="1" xfId="2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14" fontId="0" fillId="0" borderId="1" xfId="0" applyNumberFormat="1" applyBorder="1"/>
    <xf numFmtId="4" fontId="0" fillId="0" borderId="1" xfId="0" applyNumberFormat="1" applyBorder="1"/>
    <xf numFmtId="0" fontId="0" fillId="9" borderId="1" xfId="0" applyFill="1" applyBorder="1"/>
    <xf numFmtId="4" fontId="0" fillId="9" borderId="1" xfId="0" applyNumberFormat="1" applyFill="1" applyBorder="1"/>
    <xf numFmtId="0" fontId="17" fillId="9" borderId="1" xfId="0" applyFont="1" applyFill="1" applyBorder="1"/>
    <xf numFmtId="4" fontId="0" fillId="0" borderId="0" xfId="0" applyNumberFormat="1"/>
    <xf numFmtId="0" fontId="28" fillId="0" borderId="0" xfId="0" applyFont="1"/>
    <xf numFmtId="0" fontId="31" fillId="11" borderId="12" xfId="3" applyFont="1" applyFill="1" applyBorder="1" applyAlignment="1">
      <alignment horizontal="center"/>
    </xf>
    <xf numFmtId="0" fontId="31" fillId="11" borderId="4" xfId="3" applyFont="1" applyFill="1" applyBorder="1" applyAlignment="1">
      <alignment horizontal="center"/>
    </xf>
    <xf numFmtId="9" fontId="31" fillId="11" borderId="4" xfId="3" applyNumberFormat="1" applyFont="1" applyFill="1" applyBorder="1" applyAlignment="1">
      <alignment horizontal="center"/>
    </xf>
    <xf numFmtId="44" fontId="32" fillId="12" borderId="11" xfId="1" applyFont="1" applyFill="1" applyBorder="1" applyAlignment="1">
      <alignment horizontal="center" vertical="center"/>
    </xf>
    <xf numFmtId="44" fontId="28" fillId="12" borderId="1" xfId="1" applyFont="1" applyFill="1" applyBorder="1"/>
    <xf numFmtId="44" fontId="32" fillId="12" borderId="9" xfId="1" applyFont="1" applyFill="1" applyBorder="1" applyAlignment="1">
      <alignment horizontal="center"/>
    </xf>
    <xf numFmtId="0" fontId="28" fillId="0" borderId="14" xfId="0" applyFont="1" applyBorder="1"/>
    <xf numFmtId="0" fontId="28" fillId="0" borderId="3" xfId="0" applyFont="1" applyBorder="1"/>
    <xf numFmtId="44" fontId="28" fillId="13" borderId="3" xfId="0" applyNumberFormat="1" applyFont="1" applyFill="1" applyBorder="1"/>
    <xf numFmtId="44" fontId="28" fillId="0" borderId="3" xfId="0" applyNumberFormat="1" applyFont="1" applyBorder="1"/>
    <xf numFmtId="164" fontId="32" fillId="0" borderId="0" xfId="0" applyNumberFormat="1" applyFont="1" applyAlignment="1">
      <alignment horizontal="center"/>
    </xf>
    <xf numFmtId="44" fontId="28" fillId="0" borderId="0" xfId="0" applyNumberFormat="1" applyFont="1"/>
    <xf numFmtId="44" fontId="31" fillId="11" borderId="12" xfId="1" applyFont="1" applyFill="1" applyBorder="1" applyAlignment="1">
      <alignment horizontal="center"/>
    </xf>
    <xf numFmtId="44" fontId="31" fillId="11" borderId="4" xfId="1" applyFont="1" applyFill="1" applyBorder="1" applyAlignment="1">
      <alignment horizontal="center"/>
    </xf>
    <xf numFmtId="0" fontId="31" fillId="11" borderId="4" xfId="3" applyFont="1" applyFill="1" applyBorder="1" applyAlignment="1">
      <alignment horizontal="center" vertical="center"/>
    </xf>
    <xf numFmtId="44" fontId="28" fillId="0" borderId="1" xfId="1" applyFont="1" applyFill="1" applyBorder="1"/>
    <xf numFmtId="4" fontId="28" fillId="0" borderId="1" xfId="1" applyNumberFormat="1" applyFont="1" applyFill="1" applyBorder="1"/>
    <xf numFmtId="0" fontId="28" fillId="0" borderId="0" xfId="0" applyFont="1" applyAlignment="1">
      <alignment horizontal="center" vertical="center"/>
    </xf>
    <xf numFmtId="44" fontId="28" fillId="0" borderId="3" xfId="1" applyFont="1" applyFill="1" applyBorder="1"/>
    <xf numFmtId="4" fontId="28" fillId="0" borderId="3" xfId="1" applyNumberFormat="1" applyFont="1" applyFill="1" applyBorder="1"/>
    <xf numFmtId="44" fontId="28" fillId="0" borderId="0" xfId="1" applyFont="1" applyAlignment="1"/>
    <xf numFmtId="0" fontId="28" fillId="0" borderId="0" xfId="0" applyFont="1" applyAlignment="1">
      <alignment horizontal="right"/>
    </xf>
    <xf numFmtId="44" fontId="28" fillId="0" borderId="10" xfId="1" applyFont="1" applyBorder="1" applyAlignment="1">
      <alignment horizontal="center"/>
    </xf>
    <xf numFmtId="44" fontId="28" fillId="0" borderId="0" xfId="1" applyFont="1" applyBorder="1"/>
    <xf numFmtId="0" fontId="28" fillId="0" borderId="1" xfId="0" applyFont="1" applyBorder="1"/>
    <xf numFmtId="0" fontId="29" fillId="10" borderId="0" xfId="0" applyFont="1" applyFill="1" applyAlignment="1">
      <alignment horizontal="center" vertical="center"/>
    </xf>
    <xf numFmtId="44" fontId="28" fillId="0" borderId="9" xfId="1" applyFont="1" applyBorder="1"/>
    <xf numFmtId="0" fontId="29" fillId="10" borderId="12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0" fontId="29" fillId="10" borderId="1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4" fontId="28" fillId="13" borderId="9" xfId="1" applyFont="1" applyFill="1" applyBorder="1"/>
    <xf numFmtId="44" fontId="33" fillId="0" borderId="9" xfId="1" applyFont="1" applyFill="1" applyBorder="1"/>
    <xf numFmtId="0" fontId="28" fillId="0" borderId="1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35" fillId="11" borderId="4" xfId="3" applyFont="1" applyFill="1" applyBorder="1" applyAlignment="1">
      <alignment horizontal="center"/>
    </xf>
    <xf numFmtId="44" fontId="37" fillId="12" borderId="1" xfId="1" applyFont="1" applyFill="1" applyBorder="1" applyAlignment="1">
      <alignment horizontal="center"/>
    </xf>
    <xf numFmtId="44" fontId="36" fillId="12" borderId="1" xfId="1" applyFont="1" applyFill="1" applyBorder="1"/>
    <xf numFmtId="44" fontId="37" fillId="12" borderId="4" xfId="1" applyFont="1" applyFill="1" applyBorder="1" applyAlignment="1">
      <alignment horizontal="center"/>
    </xf>
    <xf numFmtId="44" fontId="36" fillId="12" borderId="4" xfId="1" applyFont="1" applyFill="1" applyBorder="1"/>
    <xf numFmtId="44" fontId="37" fillId="12" borderId="3" xfId="1" applyFont="1" applyFill="1" applyBorder="1" applyAlignment="1">
      <alignment horizontal="center"/>
    </xf>
    <xf numFmtId="44" fontId="36" fillId="12" borderId="3" xfId="1" applyFont="1" applyFill="1" applyBorder="1"/>
    <xf numFmtId="44" fontId="32" fillId="12" borderId="9" xfId="1" applyFont="1" applyFill="1" applyBorder="1" applyAlignment="1">
      <alignment horizontal="center" vertical="center"/>
    </xf>
    <xf numFmtId="44" fontId="36" fillId="12" borderId="1" xfId="1" applyFont="1" applyFill="1" applyBorder="1" applyAlignment="1">
      <alignment horizontal="center" vertical="center"/>
    </xf>
    <xf numFmtId="44" fontId="36" fillId="12" borderId="3" xfId="1" applyFont="1" applyFill="1" applyBorder="1" applyAlignment="1">
      <alignment horizontal="center" vertical="center"/>
    </xf>
    <xf numFmtId="44" fontId="32" fillId="12" borderId="14" xfId="1" applyFont="1" applyFill="1" applyBorder="1" applyAlignment="1">
      <alignment horizontal="center" vertical="center"/>
    </xf>
    <xf numFmtId="44" fontId="28" fillId="12" borderId="3" xfId="1" applyFont="1" applyFill="1" applyBorder="1"/>
    <xf numFmtId="44" fontId="32" fillId="12" borderId="15" xfId="1" applyFont="1" applyFill="1" applyBorder="1" applyAlignment="1">
      <alignment horizontal="center"/>
    </xf>
    <xf numFmtId="44" fontId="28" fillId="12" borderId="1" xfId="1" applyFont="1" applyFill="1" applyBorder="1" applyAlignment="1">
      <alignment horizontal="center" vertical="center"/>
    </xf>
    <xf numFmtId="44" fontId="28" fillId="12" borderId="3" xfId="1" applyFont="1" applyFill="1" applyBorder="1" applyAlignment="1">
      <alignment horizontal="center" vertical="center"/>
    </xf>
    <xf numFmtId="44" fontId="28" fillId="0" borderId="15" xfId="0" applyNumberFormat="1" applyFont="1" applyBorder="1"/>
    <xf numFmtId="44" fontId="33" fillId="0" borderId="0" xfId="1" applyFont="1" applyFill="1" applyBorder="1"/>
    <xf numFmtId="44" fontId="28" fillId="12" borderId="4" xfId="1" applyFont="1" applyFill="1" applyBorder="1" applyAlignment="1">
      <alignment horizontal="center" vertical="center"/>
    </xf>
    <xf numFmtId="0" fontId="38" fillId="11" borderId="4" xfId="3" applyFont="1" applyFill="1" applyBorder="1" applyAlignment="1">
      <alignment horizontal="center"/>
    </xf>
    <xf numFmtId="0" fontId="28" fillId="0" borderId="16" xfId="0" applyFont="1" applyBorder="1"/>
    <xf numFmtId="0" fontId="29" fillId="10" borderId="9" xfId="0" applyFont="1" applyFill="1" applyBorder="1" applyAlignment="1">
      <alignment vertical="center"/>
    </xf>
    <xf numFmtId="0" fontId="29" fillId="10" borderId="10" xfId="0" applyFont="1" applyFill="1" applyBorder="1" applyAlignment="1">
      <alignment vertical="center"/>
    </xf>
    <xf numFmtId="0" fontId="29" fillId="10" borderId="11" xfId="0" applyFont="1" applyFill="1" applyBorder="1" applyAlignment="1">
      <alignment vertical="center"/>
    </xf>
    <xf numFmtId="0" fontId="27" fillId="10" borderId="9" xfId="0" applyFont="1" applyFill="1" applyBorder="1" applyAlignment="1">
      <alignment vertical="center"/>
    </xf>
    <xf numFmtId="0" fontId="27" fillId="10" borderId="10" xfId="0" applyFont="1" applyFill="1" applyBorder="1" applyAlignment="1">
      <alignment vertical="center"/>
    </xf>
    <xf numFmtId="0" fontId="27" fillId="10" borderId="11" xfId="0" applyFont="1" applyFill="1" applyBorder="1" applyAlignment="1">
      <alignment vertical="center"/>
    </xf>
    <xf numFmtId="44" fontId="0" fillId="8" borderId="1" xfId="0" applyNumberFormat="1" applyFill="1" applyBorder="1" applyAlignment="1">
      <alignment horizontal="center" vertical="center"/>
    </xf>
    <xf numFmtId="44" fontId="40" fillId="12" borderId="1" xfId="1" applyFont="1" applyFill="1" applyBorder="1" applyAlignment="1">
      <alignment horizontal="center" vertical="center"/>
    </xf>
    <xf numFmtId="44" fontId="41" fillId="12" borderId="1" xfId="1" applyFont="1" applyFill="1" applyBorder="1"/>
    <xf numFmtId="0" fontId="42" fillId="0" borderId="0" xfId="0" applyFont="1"/>
    <xf numFmtId="4" fontId="0" fillId="14" borderId="0" xfId="0" applyNumberFormat="1" applyFill="1"/>
    <xf numFmtId="0" fontId="6" fillId="0" borderId="1" xfId="0" applyFont="1" applyBorder="1" applyAlignment="1">
      <alignment horizontal="left" vertical="center" wrapText="1"/>
    </xf>
    <xf numFmtId="44" fontId="5" fillId="0" borderId="1" xfId="1" applyFont="1" applyBorder="1" applyAlignment="1">
      <alignment vertical="center" wrapText="1"/>
    </xf>
    <xf numFmtId="44" fontId="5" fillId="12" borderId="1" xfId="1" applyFont="1" applyFill="1" applyBorder="1" applyAlignment="1">
      <alignment vertical="center" wrapText="1"/>
    </xf>
    <xf numFmtId="16" fontId="44" fillId="16" borderId="11" xfId="0" applyNumberFormat="1" applyFont="1" applyFill="1" applyBorder="1" applyAlignment="1">
      <alignment horizontal="center" vertical="center" wrapText="1"/>
    </xf>
    <xf numFmtId="44" fontId="5" fillId="0" borderId="9" xfId="1" applyFont="1" applyBorder="1" applyAlignment="1">
      <alignment vertical="center" wrapText="1"/>
    </xf>
    <xf numFmtId="0" fontId="43" fillId="15" borderId="12" xfId="0" applyFont="1" applyFill="1" applyBorder="1" applyAlignment="1">
      <alignment horizontal="center" vertical="center" wrapText="1"/>
    </xf>
    <xf numFmtId="0" fontId="43" fillId="15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14" fontId="7" fillId="12" borderId="14" xfId="0" applyNumberFormat="1" applyFont="1" applyFill="1" applyBorder="1" applyAlignment="1">
      <alignment horizontal="center" vertical="center" wrapText="1"/>
    </xf>
    <xf numFmtId="16" fontId="44" fillId="16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3" fillId="15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4" fontId="5" fillId="0" borderId="0" xfId="1" applyFont="1" applyBorder="1" applyAlignment="1">
      <alignment vertical="center" wrapText="1"/>
    </xf>
    <xf numFmtId="44" fontId="5" fillId="12" borderId="0" xfId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4" fontId="5" fillId="0" borderId="0" xfId="1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5" fillId="0" borderId="0" xfId="0" applyFont="1"/>
    <xf numFmtId="44" fontId="47" fillId="0" borderId="1" xfId="1" applyFont="1" applyBorder="1" applyAlignment="1">
      <alignment horizontal="right" vertical="center" wrapText="1"/>
    </xf>
    <xf numFmtId="0" fontId="47" fillId="0" borderId="1" xfId="0" applyFont="1" applyBorder="1" applyAlignment="1">
      <alignment horizontal="right" vertical="center" wrapText="1"/>
    </xf>
    <xf numFmtId="4" fontId="48" fillId="0" borderId="1" xfId="1" applyNumberFormat="1" applyFont="1" applyBorder="1" applyAlignment="1">
      <alignment horizontal="right" vertical="center" wrapText="1"/>
    </xf>
    <xf numFmtId="4" fontId="47" fillId="0" borderId="1" xfId="0" applyNumberFormat="1" applyFont="1" applyBorder="1" applyAlignment="1">
      <alignment horizontal="right" vertical="center" wrapText="1"/>
    </xf>
    <xf numFmtId="44" fontId="47" fillId="0" borderId="1" xfId="0" applyNumberFormat="1" applyFont="1" applyBorder="1" applyAlignment="1">
      <alignment horizontal="right" vertical="center" wrapText="1"/>
    </xf>
    <xf numFmtId="4" fontId="47" fillId="0" borderId="1" xfId="1" applyNumberFormat="1" applyFont="1" applyBorder="1" applyAlignment="1">
      <alignment horizontal="right" vertical="center" wrapText="1"/>
    </xf>
    <xf numFmtId="4" fontId="49" fillId="0" borderId="1" xfId="1" applyNumberFormat="1" applyFont="1" applyBorder="1" applyAlignment="1">
      <alignment horizontal="right" vertical="center" wrapText="1"/>
    </xf>
    <xf numFmtId="17" fontId="7" fillId="0" borderId="11" xfId="0" applyNumberFormat="1" applyFont="1" applyBorder="1" applyAlignment="1">
      <alignment horizontal="left" vertical="center" wrapText="1"/>
    </xf>
    <xf numFmtId="17" fontId="7" fillId="0" borderId="14" xfId="0" applyNumberFormat="1" applyFont="1" applyBorder="1" applyAlignment="1">
      <alignment horizontal="left" vertical="center" wrapText="1"/>
    </xf>
    <xf numFmtId="4" fontId="49" fillId="0" borderId="3" xfId="1" applyNumberFormat="1" applyFont="1" applyBorder="1" applyAlignment="1">
      <alignment horizontal="right" vertical="center" wrapText="1"/>
    </xf>
    <xf numFmtId="4" fontId="47" fillId="0" borderId="3" xfId="0" applyNumberFormat="1" applyFont="1" applyBorder="1" applyAlignment="1">
      <alignment horizontal="right" vertical="center" wrapText="1"/>
    </xf>
    <xf numFmtId="4" fontId="48" fillId="0" borderId="3" xfId="1" applyNumberFormat="1" applyFont="1" applyBorder="1" applyAlignment="1">
      <alignment horizontal="right" vertical="center" wrapText="1"/>
    </xf>
    <xf numFmtId="4" fontId="47" fillId="0" borderId="3" xfId="1" applyNumberFormat="1" applyFont="1" applyBorder="1" applyAlignment="1">
      <alignment horizontal="right" vertical="center" wrapText="1"/>
    </xf>
    <xf numFmtId="44" fontId="7" fillId="12" borderId="3" xfId="1" applyFont="1" applyFill="1" applyBorder="1" applyAlignment="1">
      <alignment horizontal="right" vertical="center" wrapText="1"/>
    </xf>
    <xf numFmtId="14" fontId="7" fillId="12" borderId="3" xfId="0" applyNumberFormat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right" vertical="center" wrapText="1"/>
    </xf>
    <xf numFmtId="44" fontId="43" fillId="16" borderId="15" xfId="0" applyNumberFormat="1" applyFont="1" applyFill="1" applyBorder="1" applyAlignment="1">
      <alignment horizontal="center" vertical="center" wrapText="1"/>
    </xf>
    <xf numFmtId="14" fontId="51" fillId="12" borderId="14" xfId="0" applyNumberFormat="1" applyFont="1" applyFill="1" applyBorder="1" applyAlignment="1">
      <alignment horizontal="center" vertical="center" wrapText="1"/>
    </xf>
    <xf numFmtId="0" fontId="50" fillId="12" borderId="3" xfId="0" applyFont="1" applyFill="1" applyBorder="1"/>
    <xf numFmtId="44" fontId="43" fillId="12" borderId="1" xfId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" fontId="7" fillId="0" borderId="0" xfId="1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9" borderId="1" xfId="0" applyFill="1" applyBorder="1" applyAlignment="1">
      <alignment horizontal="center"/>
    </xf>
    <xf numFmtId="0" fontId="29" fillId="10" borderId="9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44" fontId="28" fillId="13" borderId="1" xfId="1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8" borderId="1" xfId="0" applyFill="1" applyBorder="1" applyAlignment="1">
      <alignment horizontal="center"/>
    </xf>
    <xf numFmtId="44" fontId="0" fillId="8" borderId="1" xfId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17" fontId="2" fillId="10" borderId="10" xfId="0" applyNumberFormat="1" applyFont="1" applyFill="1" applyBorder="1" applyAlignment="1">
      <alignment horizontal="center"/>
    </xf>
    <xf numFmtId="17" fontId="2" fillId="10" borderId="1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">
    <cellStyle name="Hiperlink" xfId="2" builtinId="8"/>
    <cellStyle name="Moeda" xfId="1" builtinId="4"/>
    <cellStyle name="Normal" xfId="0" builtinId="0"/>
    <cellStyle name="Normal 2" xfId="3" xr:uid="{00000000-0005-0000-0000-000003000000}"/>
  </cellStyles>
  <dxfs count="190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family val="2"/>
        <scheme val="none"/>
      </font>
      <numFmt numFmtId="34" formatCode="_-&quot;R$&quot;\ * #,##0.00_-;\-&quot;R$&quot;\ * #,##0.00_-;_-&quot;R$&quot;\ * &quot;-&quot;??_-;_-@_-"/>
      <fill>
        <patternFill patternType="solid">
          <fgColor theme="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scheme val="none"/>
      </font>
      <fill>
        <patternFill patternType="solid">
          <fgColor theme="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numFmt numFmtId="21" formatCode="dd/mmm"/>
      <fill>
        <patternFill patternType="solid">
          <fgColor theme="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numFmt numFmtId="21" formatCode="dd/mmm"/>
      <fill>
        <patternFill patternType="solid">
          <fgColor theme="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scheme val="none"/>
      </font>
      <fill>
        <patternFill patternType="solid">
          <fgColor theme="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numFmt numFmtId="21" formatCode="dd/mmm"/>
      <fill>
        <patternFill patternType="solid">
          <fgColor theme="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4" formatCode="_-&quot;R$&quot;\ * #,##0.00_-;\-&quot;R$&quot;\ * #,##0.00_-;_-&quot;R$&quot;\ * &quot;-&quot;??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22" formatCode="mmm/yy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07/relationships/slicerCache" Target="slicerCaches/slicerCache7.xml"/><Relationship Id="rId21" Type="http://schemas.openxmlformats.org/officeDocument/2006/relationships/worksheet" Target="worksheets/sheet21.xml"/><Relationship Id="rId34" Type="http://schemas.microsoft.com/office/2007/relationships/slicerCache" Target="slicerCaches/slicerCache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microsoft.com/office/2007/relationships/slicerCache" Target="slicerCaches/slicerCache5.xml"/><Relationship Id="rId40" Type="http://schemas.microsoft.com/office/2007/relationships/slicerCache" Target="slicerCaches/slicerCache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7/relationships/slicerCache" Target="slicerCaches/slicerCache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07/relationships/slicerCache" Target="slicerCaches/slicerCache3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7/relationships/slicerCache" Target="slicerCaches/slicerCache1.xml"/><Relationship Id="rId38" Type="http://schemas.microsoft.com/office/2007/relationships/slicerCache" Target="slicerCaches/slicerCache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476500" y="200977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0002FC-E45F-4DAF-A963-57EA85AB1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5" cy="1085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C79E0A-D797-41E4-ACD9-D94617F9F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5" cy="1085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C2CC0E-C941-45A6-ADF1-9FF0397F2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5" cy="10858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152400</xdr:colOff>
      <xdr:row>42</xdr:row>
      <xdr:rowOff>95251</xdr:rowOff>
    </xdr:from>
    <xdr:to>
      <xdr:col>12</xdr:col>
      <xdr:colOff>171450</xdr:colOff>
      <xdr:row>67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Mês">
              <a:extLst>
                <a:ext uri="{FF2B5EF4-FFF2-40B4-BE49-F238E27FC236}">
                  <a16:creationId xmlns:a16="http://schemas.microsoft.com/office/drawing/2014/main" id="{6111A47F-0282-4F6B-9C3B-E5264922C89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39375" y="3543301"/>
              <a:ext cx="1238250" cy="1362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114300</xdr:colOff>
      <xdr:row>44</xdr:row>
      <xdr:rowOff>28576</xdr:rowOff>
    </xdr:from>
    <xdr:to>
      <xdr:col>5</xdr:col>
      <xdr:colOff>76200</xdr:colOff>
      <xdr:row>53</xdr:row>
      <xdr:rowOff>152401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Mês 1">
              <a:extLst>
                <a:ext uri="{FF2B5EF4-FFF2-40B4-BE49-F238E27FC236}">
                  <a16:creationId xmlns:a16="http://schemas.microsoft.com/office/drawing/2014/main" id="{9AC9E374-DBC6-46CE-961A-DE947E49C82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52925" y="3800476"/>
              <a:ext cx="1828800" cy="933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76200</xdr:colOff>
      <xdr:row>67</xdr:row>
      <xdr:rowOff>57151</xdr:rowOff>
    </xdr:from>
    <xdr:to>
      <xdr:col>5</xdr:col>
      <xdr:colOff>38100</xdr:colOff>
      <xdr:row>77</xdr:row>
      <xdr:rowOff>142876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MÊS 3">
              <a:extLst>
                <a:ext uri="{FF2B5EF4-FFF2-40B4-BE49-F238E27FC236}">
                  <a16:creationId xmlns:a16="http://schemas.microsoft.com/office/drawing/2014/main" id="{CC212CCB-43E6-4309-A8C9-0FFBDC72D4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14825" y="4962526"/>
              <a:ext cx="1828800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552449</xdr:colOff>
      <xdr:row>6</xdr:row>
      <xdr:rowOff>57150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7657B53-38D5-45E4-873B-C164B2F4A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39274" cy="1028700"/>
        </a:xfrm>
        <a:prstGeom prst="rect">
          <a:avLst/>
        </a:prstGeom>
      </xdr:spPr>
    </xdr:pic>
    <xdr:clientData/>
  </xdr:twoCellAnchor>
  <xdr:twoCellAnchor editAs="absolute">
    <xdr:from>
      <xdr:col>10</xdr:col>
      <xdr:colOff>133350</xdr:colOff>
      <xdr:row>10</xdr:row>
      <xdr:rowOff>28576</xdr:rowOff>
    </xdr:from>
    <xdr:to>
      <xdr:col>12</xdr:col>
      <xdr:colOff>0</xdr:colOff>
      <xdr:row>42</xdr:row>
      <xdr:rowOff>57151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MÊS 2">
              <a:extLst>
                <a:ext uri="{FF2B5EF4-FFF2-40B4-BE49-F238E27FC236}">
                  <a16:creationId xmlns:a16="http://schemas.microsoft.com/office/drawing/2014/main" id="{12194CF8-07FE-4232-9D23-DF461BE4E7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20325" y="1695451"/>
              <a:ext cx="1085850" cy="1809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A1E464E-75CA-4FF9-AB4B-BD2BDA1CB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5" cy="1085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7DDDA07-5D4A-426B-8533-8F6C4E656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5" cy="10858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B6E266-28A7-4AF4-B9E2-B981A85D5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5" cy="10858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7811206-296E-4E0B-8659-029B8F92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5525" cy="10858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333374</xdr:colOff>
      <xdr:row>6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549751-7913-4BC1-89BF-C4C3DF2F3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10674" cy="1028700"/>
        </a:xfrm>
        <a:prstGeom prst="rect">
          <a:avLst/>
        </a:prstGeom>
      </xdr:spPr>
    </xdr:pic>
    <xdr:clientData/>
  </xdr:twoCellAnchor>
  <xdr:twoCellAnchor editAs="absolute">
    <xdr:from>
      <xdr:col>10</xdr:col>
      <xdr:colOff>171450</xdr:colOff>
      <xdr:row>3</xdr:row>
      <xdr:rowOff>85725</xdr:rowOff>
    </xdr:from>
    <xdr:to>
      <xdr:col>13</xdr:col>
      <xdr:colOff>171450</xdr:colOff>
      <xdr:row>39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MÊS 7">
              <a:extLst>
                <a:ext uri="{FF2B5EF4-FFF2-40B4-BE49-F238E27FC236}">
                  <a16:creationId xmlns:a16="http://schemas.microsoft.com/office/drawing/2014/main" id="{B5D8A706-E074-4E74-9577-B365A3289B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58350" y="571500"/>
              <a:ext cx="1828800" cy="2066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152400</xdr:colOff>
      <xdr:row>39</xdr:row>
      <xdr:rowOff>133350</xdr:rowOff>
    </xdr:from>
    <xdr:to>
      <xdr:col>13</xdr:col>
      <xdr:colOff>76200</xdr:colOff>
      <xdr:row>70</xdr:row>
      <xdr:rowOff>38100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Mês 4">
              <a:extLst>
                <a:ext uri="{FF2B5EF4-FFF2-40B4-BE49-F238E27FC236}">
                  <a16:creationId xmlns:a16="http://schemas.microsoft.com/office/drawing/2014/main" id="{A55A6412-8463-4EB7-9DE9-1847C6A691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39300" y="2705100"/>
              <a:ext cx="1752600" cy="2009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133350</xdr:colOff>
      <xdr:row>66</xdr:row>
      <xdr:rowOff>9525</xdr:rowOff>
    </xdr:from>
    <xdr:to>
      <xdr:col>5</xdr:col>
      <xdr:colOff>438150</xdr:colOff>
      <xdr:row>103</xdr:row>
      <xdr:rowOff>123825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Mês 5">
              <a:extLst>
                <a:ext uri="{FF2B5EF4-FFF2-40B4-BE49-F238E27FC236}">
                  <a16:creationId xmlns:a16="http://schemas.microsoft.com/office/drawing/2014/main" id="{84C4FE15-FE7D-4543-A6FC-7CCE60C08F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62375" y="4038600"/>
              <a:ext cx="1828800" cy="1247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933450</xdr:colOff>
      <xdr:row>66</xdr:row>
      <xdr:rowOff>19051</xdr:rowOff>
    </xdr:from>
    <xdr:to>
      <xdr:col>7</xdr:col>
      <xdr:colOff>571500</xdr:colOff>
      <xdr:row>104</xdr:row>
      <xdr:rowOff>28575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MÊS 6">
              <a:extLst>
                <a:ext uri="{FF2B5EF4-FFF2-40B4-BE49-F238E27FC236}">
                  <a16:creationId xmlns:a16="http://schemas.microsoft.com/office/drawing/2014/main" id="{AD9AF20B-4E40-43B0-A7C9-F62FF0A0E7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6475" y="4048126"/>
              <a:ext cx="1781175" cy="1304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841A82-6E37-49AC-8D84-16F14175B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1007745</xdr:colOff>
      <xdr:row>40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5BDE586-948D-4E39-A005-1DC2BC394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01375"/>
          <a:ext cx="666559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119</xdr:row>
      <xdr:rowOff>0</xdr:rowOff>
    </xdr:from>
    <xdr:to>
      <xdr:col>5</xdr:col>
      <xdr:colOff>828675</xdr:colOff>
      <xdr:row>119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A113055C-8CC4-4202-976B-6A6F8C4F6CC7}"/>
            </a:ext>
          </a:extLst>
        </xdr:cNvPr>
        <xdr:cNvCxnSpPr/>
      </xdr:nvCxnSpPr>
      <xdr:spPr>
        <a:xfrm>
          <a:off x="2752725" y="30508575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71</xdr:row>
      <xdr:rowOff>171450</xdr:rowOff>
    </xdr:from>
    <xdr:to>
      <xdr:col>5</xdr:col>
      <xdr:colOff>1015364</xdr:colOff>
      <xdr:row>78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A2FDF07-8C72-4B55-9757-EF0CCA8B4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555075"/>
          <a:ext cx="6663690" cy="1322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A93C27-EDDC-4255-9C51-FEC65A99C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E6B76-57CC-4D26-8CA4-C9C1B0F18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D0FDA731-5542-4C2B-BF99-9E7EEF5212AA}"/>
            </a:ext>
          </a:extLst>
        </xdr:cNvPr>
        <xdr:cNvCxnSpPr/>
      </xdr:nvCxnSpPr>
      <xdr:spPr>
        <a:xfrm>
          <a:off x="2476500" y="201358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70C442D-DBDD-41E5-83EE-986F114C0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5</xdr:col>
      <xdr:colOff>1007745</xdr:colOff>
      <xdr:row>41</xdr:row>
      <xdr:rowOff>146685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1589FDE-7B99-4086-918F-0575A7644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25125"/>
          <a:ext cx="6665595" cy="8801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76</xdr:row>
      <xdr:rowOff>0</xdr:rowOff>
    </xdr:from>
    <xdr:to>
      <xdr:col>5</xdr:col>
      <xdr:colOff>828675</xdr:colOff>
      <xdr:row>76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5966BD3F-CE69-43B5-A04B-C8A4BB18993A}"/>
            </a:ext>
          </a:extLst>
        </xdr:cNvPr>
        <xdr:cNvCxnSpPr/>
      </xdr:nvCxnSpPr>
      <xdr:spPr>
        <a:xfrm>
          <a:off x="2752725" y="20907375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6486525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F0C084-7BA5-4458-8685-992959A62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6391275" cy="9429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6587288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332E33-CFED-40B6-96B6-4E280AFFC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7288" cy="1085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3681191</xdr:colOff>
      <xdr:row>4</xdr:row>
      <xdr:rowOff>155510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722DF9B-5498-4EC8-A788-B7EBBAD3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7288" cy="93306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685800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F9F833-82E6-4563-BDD5-92081E04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762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6434235</xdr:colOff>
      <xdr:row>5</xdr:row>
      <xdr:rowOff>77755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2BDC37C-A528-405E-94A7-813E5CB3E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34235" cy="104969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6361339</xdr:colOff>
      <xdr:row>6</xdr:row>
      <xdr:rowOff>80185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764413A-4719-4660-B065-B3EB725AD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61339" cy="104969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6219825</xdr:colOff>
      <xdr:row>5</xdr:row>
      <xdr:rowOff>97194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772B7FD-B56E-4836-9833-B6516FDC9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9825" cy="104969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4276725</xdr:colOff>
      <xdr:row>5</xdr:row>
      <xdr:rowOff>97194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080DA1-8867-4513-B9F4-AB6C2187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38900" cy="104969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15</xdr:row>
      <xdr:rowOff>142875</xdr:rowOff>
    </xdr:from>
    <xdr:to>
      <xdr:col>2</xdr:col>
      <xdr:colOff>3038474</xdr:colOff>
      <xdr:row>21</xdr:row>
      <xdr:rowOff>95250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6EC73FC-0939-46E5-9600-99930C1C6671}"/>
            </a:ext>
          </a:extLst>
        </xdr:cNvPr>
        <xdr:cNvSpPr txBox="1"/>
      </xdr:nvSpPr>
      <xdr:spPr>
        <a:xfrm>
          <a:off x="19049" y="3038475"/>
          <a:ext cx="604837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membros do Conselho Fiscal </a:t>
          </a:r>
          <a:r>
            <a:rPr lang="pt-B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CENTRO DE ESPECIALIDADES INTEGRADAS DE VINHEDO-CEIVI</a:t>
          </a: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abaixo – assinados, tendo examinado e conferido os documentos comprobatórios</a:t>
          </a:r>
          <a:r>
            <a:rPr lang="pt-B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referentes a Verba proveniente da Lei Federal 13.019/2014 e Decreto Municipal: 3.781 de 01/02/2019, acordam com a prestação de contas apresentada e recomendam a sua APROVAÇÃO, por estar em conformidade com os princípios que regem a </a:t>
          </a: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Administração</a:t>
          </a: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Pública</a:t>
          </a:r>
          <a:endParaRPr lang="pt-BR" sz="1000">
            <a:latin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2667000</xdr:colOff>
      <xdr:row>5</xdr:row>
      <xdr:rowOff>97194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B4F571-A570-4615-8270-E27CAB810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95950" cy="10496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904BDF-0365-4065-B097-4CD6A7EDD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7212681-138A-4A7C-9EEB-60BB61D92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58367AA0-E6B9-4A4F-A3F8-246FD3D4341A}"/>
            </a:ext>
          </a:extLst>
        </xdr:cNvPr>
        <xdr:cNvCxnSpPr/>
      </xdr:nvCxnSpPr>
      <xdr:spPr>
        <a:xfrm>
          <a:off x="2476500" y="201358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2F20848-858C-4A37-9539-6D55C9B38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A580EF-BA5D-4B8D-ACD3-8E862E52B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37B256C-C5F6-43A8-B321-D99BB98DAC4E}"/>
            </a:ext>
          </a:extLst>
        </xdr:cNvPr>
        <xdr:cNvCxnSpPr/>
      </xdr:nvCxnSpPr>
      <xdr:spPr>
        <a:xfrm>
          <a:off x="2476500" y="201358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B5E69C-D545-44F7-B46B-2B660626E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21B3702-434D-4B62-AFFD-9CBD48952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5F15F25-4426-46EB-ADBB-8FCA42241D56}"/>
            </a:ext>
          </a:extLst>
        </xdr:cNvPr>
        <xdr:cNvCxnSpPr/>
      </xdr:nvCxnSpPr>
      <xdr:spPr>
        <a:xfrm>
          <a:off x="2476500" y="201358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5838FE-ED32-4DDE-A233-D38AAC4EA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E3DEAF-FA6D-430A-A829-0A0AF7038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5B861E38-F879-467F-89E3-009477BE16AD}"/>
            </a:ext>
          </a:extLst>
        </xdr:cNvPr>
        <xdr:cNvCxnSpPr/>
      </xdr:nvCxnSpPr>
      <xdr:spPr>
        <a:xfrm>
          <a:off x="2476500" y="201358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2E150C-4340-44E2-94E9-B4272E11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6CE2F70-9957-4A18-A26E-3EE13E795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127</xdr:row>
      <xdr:rowOff>0</xdr:rowOff>
    </xdr:from>
    <xdr:to>
      <xdr:col>5</xdr:col>
      <xdr:colOff>828675</xdr:colOff>
      <xdr:row>127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02C6A88-9D82-464B-993B-18893A625DF4}"/>
            </a:ext>
          </a:extLst>
        </xdr:cNvPr>
        <xdr:cNvCxnSpPr/>
      </xdr:nvCxnSpPr>
      <xdr:spPr>
        <a:xfrm>
          <a:off x="3152775" y="29384625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82</xdr:row>
      <xdr:rowOff>171450</xdr:rowOff>
    </xdr:from>
    <xdr:to>
      <xdr:col>5</xdr:col>
      <xdr:colOff>1000125</xdr:colOff>
      <xdr:row>89</xdr:row>
      <xdr:rowOff>76200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CF32664-FC12-411D-AC4C-1F252D4FE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497800"/>
          <a:ext cx="6438900" cy="1371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A3A6B6-4C5D-4EBF-83B6-43FB3CA04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347DD0C-A0BF-4923-B360-4D9D065D1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127</xdr:row>
      <xdr:rowOff>0</xdr:rowOff>
    </xdr:from>
    <xdr:to>
      <xdr:col>5</xdr:col>
      <xdr:colOff>828675</xdr:colOff>
      <xdr:row>127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315DA333-4081-48C8-A9AA-78678449E3D8}"/>
            </a:ext>
          </a:extLst>
        </xdr:cNvPr>
        <xdr:cNvCxnSpPr/>
      </xdr:nvCxnSpPr>
      <xdr:spPr>
        <a:xfrm>
          <a:off x="3152775" y="29384625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82</xdr:row>
      <xdr:rowOff>171450</xdr:rowOff>
    </xdr:from>
    <xdr:to>
      <xdr:col>5</xdr:col>
      <xdr:colOff>1000125</xdr:colOff>
      <xdr:row>90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0FD7CB2-15ED-415D-B980-277E0ECD4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497800"/>
          <a:ext cx="6438900" cy="1371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A479CC0-6589-42C3-BF02-F70A046BF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4597CF-0094-4EC8-A66A-ABC7D8D4F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127</xdr:row>
      <xdr:rowOff>0</xdr:rowOff>
    </xdr:from>
    <xdr:to>
      <xdr:col>5</xdr:col>
      <xdr:colOff>828675</xdr:colOff>
      <xdr:row>127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FD4F3411-EF04-4BA1-BFBC-2C93E4374492}"/>
            </a:ext>
          </a:extLst>
        </xdr:cNvPr>
        <xdr:cNvCxnSpPr/>
      </xdr:nvCxnSpPr>
      <xdr:spPr>
        <a:xfrm>
          <a:off x="3152775" y="29384625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82</xdr:row>
      <xdr:rowOff>171450</xdr:rowOff>
    </xdr:from>
    <xdr:to>
      <xdr:col>5</xdr:col>
      <xdr:colOff>1000125</xdr:colOff>
      <xdr:row>90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D1EC4A3-9C55-4044-8715-5658B723B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497800"/>
          <a:ext cx="6438900" cy="1504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IVI%20-%20PMV/Presta&#231;&#227;o%20de%20Contas%20-%20Mensal/Educa&#231;&#227;o/PMV%20Financeiro%20EDUC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" xr10:uid="{00000000-0013-0000-FFFF-FFFF01000000}" sourceName="Mês">
  <extLst>
    <x:ext xmlns:x15="http://schemas.microsoft.com/office/spreadsheetml/2010/11/main" uri="{2F2917AC-EB37-4324-AD4E-5DD8C200BD13}">
      <x15:tableSlicerCache tableId="2" column="8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1" xr10:uid="{00000000-0013-0000-FFFF-FFFF02000000}" sourceName="Mês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2" xr10:uid="{00000000-0013-0000-FFFF-FFFF03000000}" sourceName="MÊS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3" xr10:uid="{00000000-0013-0000-FFFF-FFFF04000000}" sourceName="Coluna1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5" xr10:uid="{00000000-0013-0000-FFFF-FFFF05000000}" sourceName="MÊS">
  <extLst>
    <x:ext xmlns:x15="http://schemas.microsoft.com/office/spreadsheetml/2010/11/main" uri="{2F2917AC-EB37-4324-AD4E-5DD8C200BD13}">
      <x15:tableSlicerCache tableId="5" column="4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4" xr10:uid="{00000000-0013-0000-FFFF-FFFF06000000}" sourceName="Mês">
  <extLst>
    <x:ext xmlns:x15="http://schemas.microsoft.com/office/spreadsheetml/2010/11/main" uri="{2F2917AC-EB37-4324-AD4E-5DD8C200BD13}">
      <x15:tableSlicerCache tableId="6" column="8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6" xr10:uid="{00000000-0013-0000-FFFF-FFFF07000000}" sourceName="Mês">
  <extLst>
    <x:ext xmlns:x15="http://schemas.microsoft.com/office/spreadsheetml/2010/11/main" uri="{2F2917AC-EB37-4324-AD4E-5DD8C200BD13}">
      <x15:tableSlicerCache tableId="7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7" xr10:uid="{00000000-0013-0000-FFFF-FFFF08000000}" sourceName="MÊS">
  <extLst>
    <x:ext xmlns:x15="http://schemas.microsoft.com/office/spreadsheetml/2010/11/main" uri="{2F2917AC-EB37-4324-AD4E-5DD8C200BD13}">
      <x15:tableSlicerCache tableId="8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ês" xr10:uid="{00000000-0014-0000-FFFF-FFFF01000000}" cache="SegmentaçãodeDados_Mês" caption="Mês" startItem="2" rowHeight="241300"/>
  <slicer name="Mês 1" xr10:uid="{00000000-0014-0000-FFFF-FFFF02000000}" cache="SegmentaçãodeDados_Mês1" caption="Mês" startItem="1" style="SlicerStyleLight4" rowHeight="241300"/>
  <slicer name="MÊS 3" xr10:uid="{00000000-0014-0000-FFFF-FFFF03000000}" cache="SegmentaçãodeDados_MÊS2" caption="MÊS" startItem="2" style="SlicerStyleDark2" rowHeight="241300"/>
  <slicer name="MÊS 2" xr10:uid="{00000000-0014-0000-FFFF-FFFF04000000}" cache="SegmentaçãodeDados_MÊS3" caption="Coluna1" style="SlicerStyleDark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ÊS 7" xr10:uid="{00000000-0014-0000-FFFF-FFFF05000000}" cache="SegmentaçãodeDados_MÊS5" caption="MÊS" startItem="3" style="SlicerStyleOther1" rowHeight="241300"/>
  <slicer name="Mês 4" xr10:uid="{00000000-0014-0000-FFFF-FFFF06000000}" cache="SegmentaçãodeDados_Mês4" caption="Mês" startItem="3" rowHeight="241300"/>
  <slicer name="Mês 5" xr10:uid="{00000000-0014-0000-FFFF-FFFF07000000}" cache="SegmentaçãodeDados_Mês6" caption="Mês" startItem="3" style="SlicerStyleLight2" rowHeight="241300"/>
  <slicer name="MÊS 6" xr10:uid="{00000000-0014-0000-FFFF-FFFF08000000}" cache="SegmentaçãodeDados_MÊS7" caption="MÊS" startItem="3" style="SlicerStyleLight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33" displayName="Tabela133" ref="A11:J31" totalsRowCount="1" headerRowDxfId="189" dataDxfId="187" totalsRowDxfId="185" headerRowBorderDxfId="188" tableBorderDxfId="186" totalsRowBorderDxfId="184" headerRowCellStyle="Normal 2" dataCellStyle="Moeda">
  <autoFilter ref="A11:J30" xr:uid="{00000000-0009-0000-0100-000001000000}">
    <filterColumn colId="9">
      <filters>
        <filter val="JUNHO"/>
      </filters>
    </filterColumn>
  </autoFilter>
  <sortState xmlns:xlrd2="http://schemas.microsoft.com/office/spreadsheetml/2017/richdata2" ref="A12:F14">
    <sortCondition ref="B11:B14"/>
  </sortState>
  <tableColumns count="10">
    <tableColumn id="1" xr3:uid="{00000000-0010-0000-0000-000001000000}" name="Departamento-2" dataDxfId="183" totalsRowDxfId="182" dataCellStyle="Moeda"/>
    <tableColumn id="2" xr3:uid="{00000000-0010-0000-0000-000002000000}" name="Parceiro de Negócio" dataDxfId="181" totalsRowDxfId="180" dataCellStyle="Moeda"/>
    <tableColumn id="3" xr3:uid="{00000000-0010-0000-0000-000003000000}" name="Liquido" totalsRowFunction="sum" dataDxfId="179" totalsRowDxfId="178" dataCellStyle="Moeda"/>
    <tableColumn id="4" xr3:uid="{00000000-0010-0000-0000-000004000000}" name="MÊS" dataDxfId="177" totalsRowDxfId="176" dataCellStyle="Moeda"/>
    <tableColumn id="5" xr3:uid="{00000000-0010-0000-0000-000005000000}" name="INSS" totalsRowFunction="sum" dataDxfId="175" totalsRowDxfId="174" dataCellStyle="Moeda"/>
    <tableColumn id="6" xr3:uid="{00000000-0010-0000-0000-000006000000}" name="IRRF" totalsRowFunction="sum" dataDxfId="173" totalsRowDxfId="172" dataCellStyle="Moeda"/>
    <tableColumn id="7" xr3:uid="{00000000-0010-0000-0000-000007000000}" name="UNIMED" totalsRowFunction="sum" dataDxfId="171" totalsRowDxfId="170" dataCellStyle="Moeda"/>
    <tableColumn id="8" xr3:uid="{00000000-0010-0000-0000-000008000000}" name="UNIODONTO" totalsRowFunction="sum" dataDxfId="169" totalsRowDxfId="168" dataCellStyle="Moeda"/>
    <tableColumn id="9" xr3:uid="{00000000-0010-0000-0000-000009000000}" name="FARMACIA" totalsRowFunction="sum" dataDxfId="167" totalsRowDxfId="166" dataCellStyle="Moeda"/>
    <tableColumn id="10" xr3:uid="{00000000-0010-0000-0000-00000A000000}" name="Coluna1" dataDxfId="165" totalsRowDxfId="164" dataCellStyle="Moed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F9044CE-F8F1-4980-B783-10BDF46A5151}" name="Tabela9" displayName="Tabela9" ref="A19:E21" totalsRowShown="0" headerRowDxfId="8" dataDxfId="7" headerRowBorderDxfId="5" tableBorderDxfId="6">
  <autoFilter ref="A19:E21" xr:uid="{6F9044CE-F8F1-4980-B783-10BDF46A5151}"/>
  <tableColumns count="5">
    <tableColumn id="1" xr3:uid="{44933570-DD7C-4F5A-A3B6-A1C8B1450AF4}" name="DATA PREVISTA PARA O REPASSE (2)" dataDxfId="4"/>
    <tableColumn id="2" xr3:uid="{DB83CBDF-C9C4-4E0D-B482-0B6FD803677B}" name="VALORES PREVISTOS (R$)" dataDxfId="3"/>
    <tableColumn id="3" xr3:uid="{A624FBA6-914E-433E-8802-3AFA0A73F556}" name="DATA DO REPASSE" dataDxfId="2"/>
    <tableColumn id="4" xr3:uid="{A9A0ABEF-BD26-4819-8434-D08ED4506A60}" name="NÚMERO DO DOCUMENTO DE CRÉDITO" dataDxfId="1"/>
    <tableColumn id="5" xr3:uid="{A212C99D-9946-4246-B791-45F6D8248FEC}" name="VALORES REPASSADOS (R$)" dataDxfId="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12" displayName="Tabela12" ref="A70:F94" totalsRowCount="1" headerRowDxfId="56" dataDxfId="54" headerRowBorderDxfId="55" tableBorderDxfId="53" totalsRowBorderDxfId="52">
  <autoFilter ref="A70:F93" xr:uid="{00000000-0009-0000-0100-00000C000000}">
    <filterColumn colId="0">
      <filters>
        <dateGroupItem year="2022" month="11" dateTimeGrouping="month"/>
      </filters>
    </filterColumn>
  </autoFilter>
  <tableColumns count="6">
    <tableColumn id="1" xr3:uid="{00000000-0010-0000-0900-000001000000}" name="Mês" totalsRowLabel="Total" dataDxfId="51" totalsRowDxfId="50"/>
    <tableColumn id="2" xr3:uid="{00000000-0010-0000-0900-000002000000}" name="Valores" totalsRowFunction="sum" dataDxfId="49" totalsRowDxfId="48" dataCellStyle="Moeda"/>
    <tableColumn id="3" xr3:uid="{00000000-0010-0000-0900-000003000000}" name="Valores2" totalsRowFunction="sum" dataDxfId="47" totalsRowDxfId="46"/>
    <tableColumn id="4" xr3:uid="{00000000-0010-0000-0900-000004000000}" name="Valores3" totalsRowFunction="sum" dataDxfId="45" totalsRowDxfId="44"/>
    <tableColumn id="5" xr3:uid="{00000000-0010-0000-0900-000005000000}" name="Valores4" totalsRowFunction="sum" dataDxfId="43" totalsRowDxfId="42"/>
    <tableColumn id="6" xr3:uid="{00000000-0010-0000-0900-000006000000}" name="Valores5" totalsRowFunction="sum" dataDxfId="41" totalsRowDxfId="40" dataCellStyle="Moed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1214" displayName="Tabela1214" ref="A103:F127" totalsRowCount="1" headerRowDxfId="39" dataDxfId="37" headerRowBorderDxfId="38" tableBorderDxfId="36" totalsRowBorderDxfId="35">
  <autoFilter ref="A103:F126" xr:uid="{00000000-0009-0000-0100-00000D000000}">
    <filterColumn colId="0">
      <filters>
        <dateGroupItem year="2022" month="11" dateTimeGrouping="month"/>
      </filters>
    </filterColumn>
  </autoFilter>
  <tableColumns count="6">
    <tableColumn id="1" xr3:uid="{00000000-0010-0000-0A00-000001000000}" name="Mês" totalsRowLabel="Total" dataDxfId="34" totalsRowDxfId="33"/>
    <tableColumn id="2" xr3:uid="{00000000-0010-0000-0A00-000002000000}" name="Valores" totalsRowFunction="sum" dataDxfId="32" totalsRowDxfId="31" dataCellStyle="Moeda"/>
    <tableColumn id="3" xr3:uid="{00000000-0010-0000-0A00-000003000000}" name="Valores2" totalsRowFunction="sum" dataDxfId="30" totalsRowDxfId="29"/>
    <tableColumn id="4" xr3:uid="{00000000-0010-0000-0A00-000004000000}" name="Valores3" totalsRowFunction="sum" dataDxfId="28" totalsRowDxfId="27"/>
    <tableColumn id="5" xr3:uid="{00000000-0010-0000-0A00-000005000000}" name="Valores4" totalsRowFunction="sum" dataDxfId="26" totalsRowDxfId="25">
      <calculatedColumnFormula>C104+D104</calculatedColumnFormula>
    </tableColumn>
    <tableColumn id="6" xr3:uid="{00000000-0010-0000-0A00-000006000000}" name="Valores5" totalsRowFunction="sum" dataDxfId="24" totalsRowDxfId="23" dataCellStyle="Moed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ela1012" displayName="Tabela1012" ref="A8:B32" totalsRowShown="0" headerRowDxfId="22" headerRowBorderDxfId="21" tableBorderDxfId="20" totalsRowBorderDxfId="19">
  <autoFilter ref="A8:B32" xr:uid="{00000000-0009-0000-0100-00000B000000}">
    <filterColumn colId="0">
      <filters blank="1">
        <dateGroupItem year="2022" month="11" dateTimeGrouping="month"/>
      </filters>
    </filterColumn>
  </autoFilter>
  <tableColumns count="2">
    <tableColumn id="1" xr3:uid="{00000000-0010-0000-0B00-000001000000}" name="DATA " dataDxfId="18"/>
    <tableColumn id="2" xr3:uid="{00000000-0010-0000-0B00-000002000000}" name="Valores" dataDxfId="1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C000000}" name="Tabela10" displayName="Tabela10" ref="A40:B64" totalsRowCount="1" headerRowDxfId="16" headerRowBorderDxfId="15" tableBorderDxfId="14" totalsRowBorderDxfId="13">
  <autoFilter ref="A40:B63" xr:uid="{00000000-0009-0000-0100-00000A000000}">
    <filterColumn colId="0">
      <filters blank="1">
        <dateGroupItem year="2022" month="11" dateTimeGrouping="month"/>
      </filters>
    </filterColumn>
  </autoFilter>
  <tableColumns count="2">
    <tableColumn id="1" xr3:uid="{00000000-0010-0000-0C00-000001000000}" name="DATA " dataDxfId="12" totalsRowDxfId="11"/>
    <tableColumn id="2" xr3:uid="{00000000-0010-0000-0C00-000002000000}" name="Valores" totalsRowFunction="sum" dataDxfId="10" totalsRow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54" displayName="Tabela154" ref="A34:I41" totalsRowCount="1" headerRowDxfId="163" dataDxfId="161" totalsRowDxfId="159" headerRowBorderDxfId="162" tableBorderDxfId="160" headerRowCellStyle="Moeda" dataCellStyle="Moeda">
  <autoFilter ref="A34:I40" xr:uid="{00000000-0009-0000-0100-000002000000}">
    <filterColumn colId="8">
      <filters>
        <filter val="JUNHO"/>
      </filters>
    </filterColumn>
  </autoFilter>
  <tableColumns count="9">
    <tableColumn id="1" xr3:uid="{00000000-0010-0000-0100-000001000000}" name="Pagamentos" dataDxfId="158" totalsRowDxfId="157"/>
    <tableColumn id="2" xr3:uid="{00000000-0010-0000-0100-000002000000}" name="FOLHA" totalsRowFunction="sum" dataDxfId="156" totalsRowDxfId="155" dataCellStyle="Moeda"/>
    <tableColumn id="3" xr3:uid="{00000000-0010-0000-0100-000003000000}" name="FGTS" totalsRowFunction="sum" dataDxfId="154" totalsRowDxfId="153" dataCellStyle="Moeda"/>
    <tableColumn id="4" xr3:uid="{00000000-0010-0000-0100-000004000000}" name="INSS" totalsRowFunction="sum" dataDxfId="152" totalsRowDxfId="151" dataCellStyle="Moeda"/>
    <tableColumn id="5" xr3:uid="{00000000-0010-0000-0100-000005000000}" name="IRRF" totalsRowFunction="sum" dataDxfId="150" totalsRowDxfId="149" dataCellStyle="Moeda"/>
    <tableColumn id="6" xr3:uid="{00000000-0010-0000-0100-000006000000}" name="UNIODONTO" totalsRowFunction="sum" dataDxfId="148" totalsRowDxfId="147" dataCellStyle="Moeda"/>
    <tableColumn id="9" xr3:uid="{00000000-0010-0000-0100-000009000000}" name="UNIMED" totalsRowFunction="sum" dataDxfId="146" totalsRowDxfId="145" dataCellStyle="Moeda"/>
    <tableColumn id="7" xr3:uid="{00000000-0010-0000-0100-000007000000}" name="FARMACIA" totalsRowFunction="sum" dataDxfId="144" totalsRowDxfId="143" dataCellStyle="Moeda"/>
    <tableColumn id="8" xr3:uid="{00000000-0010-0000-0100-000008000000}" name="Mês" dataDxfId="142" totalsRowDxfId="14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45:C52" totalsRowCount="1" headerRowDxfId="140" headerRowBorderDxfId="139" tableBorderDxfId="138" totalsRowBorderDxfId="137">
  <autoFilter ref="A45:C51" xr:uid="{00000000-0009-0000-0100-000003000000}">
    <filterColumn colId="0">
      <filters>
        <filter val="JUNHO"/>
      </filters>
    </filterColumn>
  </autoFilter>
  <tableColumns count="3">
    <tableColumn id="1" xr3:uid="{00000000-0010-0000-0200-000001000000}" name="Mês" dataDxfId="136" totalsRowDxfId="135"/>
    <tableColumn id="2" xr3:uid="{00000000-0010-0000-0200-000002000000}" name="Folha" dataDxfId="134" totalsRowDxfId="133"/>
    <tableColumn id="3" xr3:uid="{00000000-0010-0000-0200-000003000000}" name="Valor" totalsRowFunction="sum" dataDxfId="132" totalsRowDxfId="131" dataCellStyle="Moed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A54:C78" totalsRowCount="1" headerRowDxfId="130" headerRowBorderDxfId="129" tableBorderDxfId="128" totalsRowBorderDxfId="127">
  <autoFilter ref="A54:C77" xr:uid="{00000000-0009-0000-0100-000004000000}">
    <filterColumn colId="0">
      <filters>
        <filter val="JUNHO"/>
      </filters>
    </filterColumn>
  </autoFilter>
  <tableColumns count="3">
    <tableColumn id="1" xr3:uid="{00000000-0010-0000-0300-000001000000}" name="MÊS" dataDxfId="126" totalsRowDxfId="125"/>
    <tableColumn id="2" xr3:uid="{00000000-0010-0000-0300-000002000000}" name="FOLHA" dataDxfId="124" totalsRowDxfId="123"/>
    <tableColumn id="3" xr3:uid="{00000000-0010-0000-0300-000003000000}" name="VALOR" totalsRowFunction="sum" totalsRowDxfId="1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1336" displayName="Tabela1336" ref="A11:D39" totalsRowCount="1" headerRowDxfId="121" dataDxfId="119" totalsRowDxfId="117" headerRowBorderDxfId="120" tableBorderDxfId="118" totalsRowBorderDxfId="116" headerRowCellStyle="Normal 2" dataCellStyle="Moeda">
  <autoFilter ref="A11:D38" xr:uid="{00000000-0009-0000-0100-000005000000}">
    <filterColumn colId="3">
      <filters>
        <filter val="SETEMBRO"/>
      </filters>
    </filterColumn>
  </autoFilter>
  <sortState xmlns:xlrd2="http://schemas.microsoft.com/office/spreadsheetml/2017/richdata2" ref="A12:D14">
    <sortCondition ref="B11:B14"/>
  </sortState>
  <tableColumns count="4">
    <tableColumn id="1" xr3:uid="{00000000-0010-0000-0400-000001000000}" name="Departamento-2" dataDxfId="115" totalsRowDxfId="114" dataCellStyle="Moeda"/>
    <tableColumn id="2" xr3:uid="{00000000-0010-0000-0400-000002000000}" name="Parceiro de Negócio" dataDxfId="113" totalsRowDxfId="112" dataCellStyle="Moeda"/>
    <tableColumn id="3" xr3:uid="{00000000-0010-0000-0400-000003000000}" name="Liquido" totalsRowFunction="sum" dataDxfId="111" totalsRowDxfId="110" dataCellStyle="Moeda"/>
    <tableColumn id="4" xr3:uid="{00000000-0010-0000-0400-000004000000}" name="MÊS" dataDxfId="109" totalsRowDxfId="108" dataCellStyle="Moed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547" displayName="Tabela1547" ref="A42:I52" totalsRowCount="1" headerRowDxfId="107" dataDxfId="105" totalsRowDxfId="103" headerRowBorderDxfId="106" tableBorderDxfId="104" headerRowCellStyle="Moeda" dataCellStyle="Moeda">
  <autoFilter ref="A42:I51" xr:uid="{00000000-0009-0000-0100-000006000000}">
    <filterColumn colId="8">
      <filters>
        <filter val="SETEMBRO"/>
      </filters>
    </filterColumn>
  </autoFilter>
  <tableColumns count="9">
    <tableColumn id="1" xr3:uid="{00000000-0010-0000-0500-000001000000}" name="Pagamentos" dataDxfId="102" totalsRowDxfId="101"/>
    <tableColumn id="2" xr3:uid="{00000000-0010-0000-0500-000002000000}" name="FOLHA" totalsRowFunction="sum" dataDxfId="100" totalsRowDxfId="99" dataCellStyle="Moeda"/>
    <tableColumn id="3" xr3:uid="{00000000-0010-0000-0500-000003000000}" name="FGTS" totalsRowFunction="sum" dataDxfId="98" totalsRowDxfId="97" dataCellStyle="Moeda"/>
    <tableColumn id="4" xr3:uid="{00000000-0010-0000-0500-000004000000}" name="INSS" totalsRowFunction="sum" dataDxfId="96" totalsRowDxfId="95" dataCellStyle="Moeda"/>
    <tableColumn id="5" xr3:uid="{00000000-0010-0000-0500-000005000000}" name="IRRF" totalsRowFunction="sum" dataDxfId="94" totalsRowDxfId="93" dataCellStyle="Moeda"/>
    <tableColumn id="6" xr3:uid="{00000000-0010-0000-0500-000006000000}" name="UNIODONTO" totalsRowFunction="sum" dataDxfId="92" totalsRowDxfId="91" dataCellStyle="Moeda"/>
    <tableColumn id="9" xr3:uid="{00000000-0010-0000-0500-000009000000}" name="UNIMED" totalsRowFunction="sum" dataDxfId="90" totalsRowDxfId="89" dataCellStyle="Moeda"/>
    <tableColumn id="7" xr3:uid="{00000000-0010-0000-0500-000007000000}" name="FARMACIA" totalsRowFunction="sum" dataDxfId="88" totalsRowDxfId="87" dataCellStyle="Moeda"/>
    <tableColumn id="8" xr3:uid="{00000000-0010-0000-0500-000008000000}" name="Mês" dataDxfId="86" totalsRowDxfId="85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38" displayName="Tabela38" ref="A56:C69" totalsRowCount="1" headerRowDxfId="84" headerRowBorderDxfId="83" tableBorderDxfId="82" totalsRowBorderDxfId="81">
  <autoFilter ref="A56:C68" xr:uid="{00000000-0009-0000-0100-000007000000}">
    <filterColumn colId="0">
      <filters>
        <filter val="SETEMBRO"/>
      </filters>
    </filterColumn>
  </autoFilter>
  <tableColumns count="3">
    <tableColumn id="1" xr3:uid="{00000000-0010-0000-0600-000001000000}" name="Mês" dataDxfId="80" totalsRowDxfId="79"/>
    <tableColumn id="2" xr3:uid="{00000000-0010-0000-0600-000002000000}" name="Folha" dataDxfId="78" totalsRowDxfId="77"/>
    <tableColumn id="3" xr3:uid="{00000000-0010-0000-0600-000003000000}" name="Valor" totalsRowFunction="sum" dataDxfId="76" totalsRowDxfId="75" dataCellStyle="Moed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49" displayName="Tabela49" ref="A71:C108" totalsRowCount="1" headerRowDxfId="74" headerRowBorderDxfId="73" tableBorderDxfId="72" totalsRowBorderDxfId="71">
  <autoFilter ref="A71:C107" xr:uid="{00000000-0009-0000-0100-000008000000}">
    <filterColumn colId="0">
      <filters>
        <filter val="SETEMBRO"/>
      </filters>
    </filterColumn>
  </autoFilter>
  <tableColumns count="3">
    <tableColumn id="1" xr3:uid="{00000000-0010-0000-0700-000001000000}" name="MÊS" dataDxfId="70" totalsRowDxfId="69"/>
    <tableColumn id="2" xr3:uid="{00000000-0010-0000-0700-000002000000}" name="FOLHA" dataDxfId="68" totalsRowDxfId="67"/>
    <tableColumn id="3" xr3:uid="{00000000-0010-0000-0700-000003000000}" name="VALOR" totalsRowFunction="sum" totalsRowDxfId="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A7383E4-99F6-4D6B-8F8E-A5BEC8F624F7}" name="Tabela915" displayName="Tabela915" ref="A19:E21" totalsRowShown="0" headerRowDxfId="65" dataDxfId="63" headerRowBorderDxfId="64" tableBorderDxfId="62">
  <autoFilter ref="A19:E21" xr:uid="{9A7383E4-99F6-4D6B-8F8E-A5BEC8F624F7}"/>
  <tableColumns count="5">
    <tableColumn id="1" xr3:uid="{08FE2865-E21A-49D1-9705-1144A010CA59}" name="DATA PREVISTA PARA O REPASSE (2)" dataDxfId="61"/>
    <tableColumn id="2" xr3:uid="{0C004D72-35E9-4C6F-8D1A-C0700BF465EF}" name="VALORES PREVISTOS (R$)" dataDxfId="60"/>
    <tableColumn id="3" xr3:uid="{E1188E46-0201-47D2-95D1-64AE7D77305D}" name="DATA DO REPASSE" dataDxfId="59"/>
    <tableColumn id="4" xr3:uid="{04181F5F-59CD-47C6-8076-20E1764397BF}" name="NÚMERO DO DOCUMENTO DE CRÉDITO" dataDxfId="58"/>
    <tableColumn id="5" xr3:uid="{09D3A731-E666-4AE7-A5AD-16E5DF423C74}" name="VALORES REPASSADOS (R$)" dataDxfId="5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microsoft.com/office/2007/relationships/slicer" Target="../slicers/slicer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microsoft.com/office/2007/relationships/slicer" Target="../slicers/slicer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mailto:ceivi@ceivi.org.br" TargetMode="External"/><Relationship Id="rId1" Type="http://schemas.openxmlformats.org/officeDocument/2006/relationships/hyperlink" Target="mailto:presidente@ceivi.org.br" TargetMode="External"/><Relationship Id="rId4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92"/>
  <sheetViews>
    <sheetView topLeftCell="A52" workbookViewId="0">
      <selection activeCell="B67" sqref="B67:F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0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202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44216</v>
      </c>
      <c r="B19" s="7">
        <v>22800</v>
      </c>
      <c r="C19" s="6">
        <v>44225</v>
      </c>
      <c r="D19" s="8">
        <v>341</v>
      </c>
      <c r="E19" s="231">
        <v>22800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/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22800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0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22800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>
        <v>2</v>
      </c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22802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7">
        <f>18601.97+1488.09</f>
        <v>20090.060000000001</v>
      </c>
      <c r="C53" s="8">
        <v>0</v>
      </c>
      <c r="D53" s="8">
        <v>0</v>
      </c>
      <c r="E53" s="8">
        <f>C53+D53</f>
        <v>0</v>
      </c>
      <c r="F53" s="7">
        <f>B53</f>
        <v>20090.060000000001</v>
      </c>
    </row>
    <row r="54" spans="1:6" ht="17.25" customHeight="1" x14ac:dyDescent="0.25">
      <c r="A54" s="16" t="s">
        <v>32</v>
      </c>
      <c r="B54" s="8">
        <v>0</v>
      </c>
      <c r="C54" s="8">
        <v>0</v>
      </c>
      <c r="D54" s="8">
        <v>0</v>
      </c>
      <c r="E54" s="8">
        <f t="shared" ref="E54:E69" si="0">C54+D54</f>
        <v>0</v>
      </c>
      <c r="F54" s="8">
        <v>0</v>
      </c>
    </row>
    <row r="55" spans="1:6" ht="15" customHeight="1" x14ac:dyDescent="0.25">
      <c r="A55" s="16" t="s">
        <v>33</v>
      </c>
      <c r="B55" s="8">
        <v>0</v>
      </c>
      <c r="C55" s="8">
        <v>0</v>
      </c>
      <c r="D55" s="8">
        <v>0</v>
      </c>
      <c r="E55" s="8">
        <f t="shared" si="0"/>
        <v>0</v>
      </c>
      <c r="F55" s="8">
        <v>0</v>
      </c>
    </row>
    <row r="56" spans="1:6" ht="21.75" customHeight="1" x14ac:dyDescent="0.25">
      <c r="A56" s="16" t="s">
        <v>34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</row>
    <row r="57" spans="1:6" x14ac:dyDescent="0.25">
      <c r="A57" s="16" t="s">
        <v>35</v>
      </c>
      <c r="B57" s="8">
        <v>0</v>
      </c>
      <c r="C57" s="8">
        <v>0</v>
      </c>
      <c r="D57" s="8">
        <v>0</v>
      </c>
      <c r="E57" s="8">
        <f t="shared" si="0"/>
        <v>0</v>
      </c>
      <c r="F57" s="8">
        <v>0</v>
      </c>
    </row>
    <row r="58" spans="1:6" ht="22.5" x14ac:dyDescent="0.25">
      <c r="A58" s="16" t="s">
        <v>36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</row>
    <row r="59" spans="1:6" x14ac:dyDescent="0.25">
      <c r="A59" s="16" t="s">
        <v>37</v>
      </c>
      <c r="B59" s="8">
        <v>0</v>
      </c>
      <c r="C59" s="8">
        <v>0</v>
      </c>
      <c r="D59" s="8">
        <v>0</v>
      </c>
      <c r="E59" s="8">
        <f t="shared" si="0"/>
        <v>0</v>
      </c>
      <c r="F59" s="8">
        <v>0</v>
      </c>
    </row>
    <row r="60" spans="1:6" ht="22.5" x14ac:dyDescent="0.25">
      <c r="A60" s="16" t="s">
        <v>38</v>
      </c>
      <c r="B60" s="8">
        <v>0</v>
      </c>
      <c r="C60" s="8">
        <v>0</v>
      </c>
      <c r="D60" s="8">
        <v>0</v>
      </c>
      <c r="E60" s="8">
        <f t="shared" si="0"/>
        <v>0</v>
      </c>
      <c r="F60" s="8">
        <v>0</v>
      </c>
    </row>
    <row r="61" spans="1:6" x14ac:dyDescent="0.25">
      <c r="A61" s="16" t="s">
        <v>39</v>
      </c>
      <c r="B61" s="8">
        <v>0</v>
      </c>
      <c r="C61" s="8">
        <v>0</v>
      </c>
      <c r="D61" s="8">
        <v>0</v>
      </c>
      <c r="E61" s="8">
        <f t="shared" si="0"/>
        <v>0</v>
      </c>
      <c r="F61" s="8">
        <v>0</v>
      </c>
    </row>
    <row r="62" spans="1:6" x14ac:dyDescent="0.25">
      <c r="A62" s="16" t="s">
        <v>40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</row>
    <row r="63" spans="1:6" x14ac:dyDescent="0.25">
      <c r="A63" s="16" t="s">
        <v>41</v>
      </c>
      <c r="B63" s="8">
        <v>0</v>
      </c>
      <c r="C63" s="8">
        <v>0</v>
      </c>
      <c r="D63" s="8">
        <v>0</v>
      </c>
      <c r="E63" s="8">
        <f t="shared" si="0"/>
        <v>0</v>
      </c>
      <c r="F63" s="8">
        <v>0</v>
      </c>
    </row>
    <row r="64" spans="1:6" x14ac:dyDescent="0.25">
      <c r="A64" s="16" t="s">
        <v>42</v>
      </c>
      <c r="B64" s="8">
        <v>0</v>
      </c>
      <c r="C64" s="8">
        <v>0</v>
      </c>
      <c r="D64" s="8">
        <v>0</v>
      </c>
      <c r="E64" s="8">
        <f t="shared" si="0"/>
        <v>0</v>
      </c>
      <c r="F64" s="8">
        <v>0</v>
      </c>
    </row>
    <row r="65" spans="1:9" ht="22.5" x14ac:dyDescent="0.25">
      <c r="A65" s="16" t="s">
        <v>43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</row>
    <row r="66" spans="1:9" x14ac:dyDescent="0.25">
      <c r="A66" s="16" t="s">
        <v>44</v>
      </c>
      <c r="B66" s="8">
        <v>0</v>
      </c>
      <c r="C66" s="8">
        <v>0</v>
      </c>
      <c r="D66" s="8">
        <v>0</v>
      </c>
      <c r="E66" s="8">
        <f t="shared" si="0"/>
        <v>0</v>
      </c>
      <c r="F66" s="8">
        <v>0</v>
      </c>
    </row>
    <row r="67" spans="1:9" ht="22.5" x14ac:dyDescent="0.25">
      <c r="A67" s="16" t="s">
        <v>45</v>
      </c>
      <c r="B67" s="7">
        <v>2</v>
      </c>
      <c r="C67" s="8">
        <v>0</v>
      </c>
      <c r="D67" s="7">
        <v>2</v>
      </c>
      <c r="E67" s="7">
        <f t="shared" si="0"/>
        <v>2</v>
      </c>
      <c r="F67" s="7">
        <v>0</v>
      </c>
    </row>
    <row r="68" spans="1:9" x14ac:dyDescent="0.25">
      <c r="A68" s="16" t="s">
        <v>46</v>
      </c>
      <c r="B68" s="8">
        <v>0</v>
      </c>
      <c r="C68" s="8">
        <v>0</v>
      </c>
      <c r="D68" s="8">
        <v>0</v>
      </c>
      <c r="E68" s="8">
        <f t="shared" si="0"/>
        <v>0</v>
      </c>
      <c r="F68" s="8">
        <v>0</v>
      </c>
    </row>
    <row r="69" spans="1:9" x14ac:dyDescent="0.25">
      <c r="A69" s="17" t="s">
        <v>47</v>
      </c>
      <c r="B69" s="7">
        <f>SUM(B53:B68)</f>
        <v>20092.060000000001</v>
      </c>
      <c r="C69" s="8">
        <f>SUM(C53:C68)</f>
        <v>0</v>
      </c>
      <c r="D69" s="7">
        <f>SUM(D53:D68)</f>
        <v>2</v>
      </c>
      <c r="E69" s="7">
        <f t="shared" si="0"/>
        <v>2</v>
      </c>
      <c r="F69" s="7">
        <f>SUM(F53:F68)</f>
        <v>20090.060000000001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>
      <c r="A71" s="224" t="s">
        <v>49</v>
      </c>
      <c r="B71" s="224"/>
      <c r="C71" s="224"/>
      <c r="D71" s="224"/>
      <c r="E71" s="224"/>
      <c r="F71" s="224"/>
    </row>
    <row r="72" spans="1:9" ht="12.75" customHeight="1" x14ac:dyDescent="0.25">
      <c r="A72" s="219" t="s">
        <v>50</v>
      </c>
      <c r="B72" s="219"/>
      <c r="C72" s="219"/>
      <c r="D72" s="219"/>
      <c r="E72" s="220">
        <f>E36</f>
        <v>22802</v>
      </c>
      <c r="F72" s="220"/>
      <c r="H72" s="36">
        <v>22818.35</v>
      </c>
      <c r="I72" s="214">
        <f>H72-H73</f>
        <v>307.61999999999898</v>
      </c>
    </row>
    <row r="73" spans="1:9" x14ac:dyDescent="0.25">
      <c r="A73" s="219" t="s">
        <v>51</v>
      </c>
      <c r="B73" s="219"/>
      <c r="C73" s="219"/>
      <c r="D73" s="219"/>
      <c r="E73" s="220">
        <f>C69+D69</f>
        <v>2</v>
      </c>
      <c r="F73" s="220"/>
      <c r="H73" s="36">
        <v>22510.73</v>
      </c>
      <c r="I73" s="215"/>
    </row>
    <row r="74" spans="1:9" ht="14.25" customHeight="1" x14ac:dyDescent="0.25">
      <c r="A74" s="219" t="s">
        <v>52</v>
      </c>
      <c r="B74" s="219"/>
      <c r="C74" s="219"/>
      <c r="D74" s="219"/>
      <c r="E74" s="220">
        <f>E33-(E73-E35)</f>
        <v>22800</v>
      </c>
      <c r="F74" s="220"/>
    </row>
    <row r="75" spans="1:9" ht="13.5" customHeight="1" x14ac:dyDescent="0.25">
      <c r="A75" s="219" t="s">
        <v>53</v>
      </c>
      <c r="B75" s="219"/>
      <c r="C75" s="219"/>
      <c r="D75" s="219"/>
      <c r="E75" s="220">
        <v>0</v>
      </c>
      <c r="F75" s="220"/>
    </row>
    <row r="76" spans="1:9" ht="14.25" customHeight="1" x14ac:dyDescent="0.25">
      <c r="A76" s="219" t="s">
        <v>54</v>
      </c>
      <c r="B76" s="219"/>
      <c r="C76" s="219"/>
      <c r="D76" s="219"/>
      <c r="E76" s="220">
        <f>E74-E75</f>
        <v>22800</v>
      </c>
      <c r="F76" s="220"/>
    </row>
    <row r="77" spans="1:9" ht="17.25" customHeight="1" x14ac:dyDescent="0.25">
      <c r="A77" s="216" t="s">
        <v>55</v>
      </c>
      <c r="B77" s="216"/>
      <c r="C77" s="216"/>
      <c r="D77" s="216"/>
      <c r="E77" s="216"/>
      <c r="F77" s="216"/>
    </row>
    <row r="78" spans="1:9" ht="17.25" customHeight="1" x14ac:dyDescent="0.25">
      <c r="A78" s="216"/>
      <c r="B78" s="216"/>
      <c r="C78" s="216"/>
      <c r="D78" s="216"/>
      <c r="E78" s="216"/>
      <c r="F78" s="216"/>
    </row>
    <row r="79" spans="1:9" ht="17.25" customHeight="1" x14ac:dyDescent="0.25">
      <c r="A79" s="19"/>
      <c r="B79" s="19"/>
      <c r="C79" s="19"/>
      <c r="D79" s="19"/>
      <c r="E79" s="19"/>
      <c r="F79" s="19"/>
    </row>
    <row r="80" spans="1:9" ht="15.95" customHeight="1" x14ac:dyDescent="0.25">
      <c r="A80" s="217" t="s">
        <v>205</v>
      </c>
      <c r="B80" s="217"/>
      <c r="C80" s="217"/>
      <c r="D80" s="217"/>
      <c r="E80" s="217"/>
      <c r="F80" s="217"/>
    </row>
    <row r="81" spans="1:6" ht="13.5" customHeight="1" x14ac:dyDescent="0.25">
      <c r="A81" s="218"/>
      <c r="B81" s="218"/>
      <c r="C81" s="218"/>
      <c r="D81" s="218"/>
      <c r="E81" s="218"/>
      <c r="F81" s="218"/>
    </row>
    <row r="82" spans="1:6" ht="13.5" customHeight="1" x14ac:dyDescent="0.25">
      <c r="A82" s="20" t="s">
        <v>56</v>
      </c>
      <c r="B82" s="20"/>
      <c r="C82" s="20"/>
      <c r="D82" s="20"/>
      <c r="E82" s="20"/>
      <c r="F82" s="20"/>
    </row>
    <row r="83" spans="1:6" x14ac:dyDescent="0.25">
      <c r="A83" s="21"/>
      <c r="B83" s="21"/>
      <c r="C83" s="21"/>
      <c r="D83" s="21"/>
      <c r="E83" s="21"/>
      <c r="F83" s="21"/>
    </row>
    <row r="92" spans="1:6" ht="25.5" customHeight="1" x14ac:dyDescent="0.25"/>
  </sheetData>
  <mergeCells count="60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B52:F52"/>
    <mergeCell ref="A70:F70"/>
    <mergeCell ref="A71:F71"/>
    <mergeCell ref="A72:D72"/>
    <mergeCell ref="E72:F72"/>
    <mergeCell ref="A37:F37"/>
    <mergeCell ref="A38:F38"/>
    <mergeCell ref="A41:F41"/>
    <mergeCell ref="A50:A51"/>
    <mergeCell ref="B50:B51"/>
    <mergeCell ref="F50:F51"/>
    <mergeCell ref="I72:I73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  <mergeCell ref="A73:D73"/>
    <mergeCell ref="E73:F73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0:C40"/>
  <sheetViews>
    <sheetView workbookViewId="0">
      <selection sqref="A1:XFD1048576"/>
    </sheetView>
  </sheetViews>
  <sheetFormatPr defaultRowHeight="15" x14ac:dyDescent="0.25"/>
  <cols>
    <col min="1" max="1" width="10.7109375" bestFit="1" customWidth="1"/>
    <col min="2" max="2" width="69.42578125" customWidth="1"/>
    <col min="3" max="3" width="12.42578125" customWidth="1"/>
  </cols>
  <sheetData>
    <row r="10" spans="1:3" x14ac:dyDescent="0.25">
      <c r="A10" s="245" t="s">
        <v>219</v>
      </c>
      <c r="B10" s="245"/>
      <c r="C10" s="245"/>
    </row>
    <row r="15" spans="1:3" x14ac:dyDescent="0.25">
      <c r="A15" s="94" t="s">
        <v>3</v>
      </c>
      <c r="B15" s="96" t="s">
        <v>23</v>
      </c>
      <c r="C15" s="94" t="s">
        <v>211</v>
      </c>
    </row>
    <row r="16" spans="1:3" x14ac:dyDescent="0.25">
      <c r="A16" s="92">
        <v>44258</v>
      </c>
      <c r="B16" s="22" t="s">
        <v>220</v>
      </c>
      <c r="C16" s="93">
        <v>14651</v>
      </c>
    </row>
    <row r="17" spans="1:3" x14ac:dyDescent="0.25">
      <c r="A17" s="92">
        <v>44271</v>
      </c>
      <c r="B17" s="22" t="s">
        <v>221</v>
      </c>
      <c r="C17" s="93">
        <v>1488.09</v>
      </c>
    </row>
    <row r="18" spans="1:3" x14ac:dyDescent="0.25">
      <c r="A18" s="92">
        <v>44274</v>
      </c>
      <c r="B18" s="22" t="s">
        <v>222</v>
      </c>
      <c r="C18" s="93">
        <v>2120.19</v>
      </c>
    </row>
    <row r="19" spans="1:3" x14ac:dyDescent="0.25">
      <c r="A19" s="92">
        <v>44274</v>
      </c>
      <c r="B19" s="22" t="s">
        <v>223</v>
      </c>
      <c r="C19" s="93">
        <v>1680.37</v>
      </c>
    </row>
    <row r="20" spans="1:3" x14ac:dyDescent="0.25">
      <c r="A20" s="244" t="s">
        <v>47</v>
      </c>
      <c r="B20" s="244"/>
      <c r="C20" s="93">
        <f>SUM(C16:C19)</f>
        <v>19939.649999999998</v>
      </c>
    </row>
    <row r="21" spans="1:3" x14ac:dyDescent="0.25">
      <c r="A21" s="94" t="s">
        <v>3</v>
      </c>
      <c r="B21" s="94" t="s">
        <v>24</v>
      </c>
      <c r="C21" s="94" t="s">
        <v>211</v>
      </c>
    </row>
    <row r="22" spans="1:3" x14ac:dyDescent="0.25">
      <c r="A22" s="92">
        <v>44271</v>
      </c>
      <c r="B22" s="22" t="s">
        <v>224</v>
      </c>
      <c r="C22" s="93">
        <v>113.2</v>
      </c>
    </row>
    <row r="23" spans="1:3" x14ac:dyDescent="0.25">
      <c r="A23" s="92">
        <v>44253</v>
      </c>
      <c r="B23" s="22" t="s">
        <v>210</v>
      </c>
      <c r="C23" s="93">
        <f>1.5+0.22+0.47</f>
        <v>2.19</v>
      </c>
    </row>
    <row r="24" spans="1:3" x14ac:dyDescent="0.25">
      <c r="A24" s="244" t="s">
        <v>47</v>
      </c>
      <c r="B24" s="244"/>
      <c r="C24" s="93">
        <f>SUM(C22:C23)</f>
        <v>115.39</v>
      </c>
    </row>
    <row r="25" spans="1:3" x14ac:dyDescent="0.25">
      <c r="A25" s="245" t="s">
        <v>212</v>
      </c>
      <c r="B25" s="245"/>
      <c r="C25" s="245"/>
    </row>
    <row r="26" spans="1:3" x14ac:dyDescent="0.25">
      <c r="A26" s="244" t="s">
        <v>23</v>
      </c>
      <c r="B26" s="244"/>
      <c r="C26" s="93">
        <f>C20</f>
        <v>19939.649999999998</v>
      </c>
    </row>
    <row r="27" spans="1:3" x14ac:dyDescent="0.25">
      <c r="A27" s="244" t="s">
        <v>24</v>
      </c>
      <c r="B27" s="244"/>
      <c r="C27" s="93">
        <f>C24</f>
        <v>115.39</v>
      </c>
    </row>
    <row r="28" spans="1:3" x14ac:dyDescent="0.25">
      <c r="A28" s="244" t="s">
        <v>209</v>
      </c>
      <c r="B28" s="244"/>
      <c r="C28" s="93">
        <v>0</v>
      </c>
    </row>
    <row r="29" spans="1:3" x14ac:dyDescent="0.25">
      <c r="A29" s="244" t="s">
        <v>47</v>
      </c>
      <c r="B29" s="244"/>
      <c r="C29" s="93">
        <f>SUM(C26:C28)</f>
        <v>20055.039999999997</v>
      </c>
    </row>
    <row r="30" spans="1:3" x14ac:dyDescent="0.25">
      <c r="A30" s="245" t="s">
        <v>49</v>
      </c>
      <c r="B30" s="245"/>
      <c r="C30" s="245"/>
    </row>
    <row r="31" spans="1:3" x14ac:dyDescent="0.25">
      <c r="A31" s="244" t="s">
        <v>213</v>
      </c>
      <c r="B31" s="244"/>
      <c r="C31" s="93">
        <f>Fevereiro!E76</f>
        <v>25383.13</v>
      </c>
    </row>
    <row r="32" spans="1:3" x14ac:dyDescent="0.25">
      <c r="A32" s="244" t="s">
        <v>214</v>
      </c>
      <c r="B32" s="244"/>
      <c r="C32" s="93">
        <v>11.49</v>
      </c>
    </row>
    <row r="33" spans="1:3" x14ac:dyDescent="0.25">
      <c r="A33" s="244" t="s">
        <v>215</v>
      </c>
      <c r="B33" s="244"/>
      <c r="C33" s="93">
        <v>22800</v>
      </c>
    </row>
    <row r="34" spans="1:3" x14ac:dyDescent="0.25">
      <c r="A34" s="244" t="s">
        <v>209</v>
      </c>
      <c r="B34" s="244"/>
      <c r="C34" s="93"/>
    </row>
    <row r="35" spans="1:3" x14ac:dyDescent="0.25">
      <c r="A35" s="244" t="s">
        <v>47</v>
      </c>
      <c r="B35" s="244"/>
      <c r="C35" s="93">
        <f>SUM(C31:C34)</f>
        <v>48194.62</v>
      </c>
    </row>
    <row r="40" spans="1:3" x14ac:dyDescent="0.25">
      <c r="A40" s="245" t="s">
        <v>216</v>
      </c>
      <c r="B40" s="245"/>
      <c r="C40" s="95">
        <f>C35-C29</f>
        <v>28139.580000000005</v>
      </c>
    </row>
  </sheetData>
  <mergeCells count="15">
    <mergeCell ref="A35:B35"/>
    <mergeCell ref="A40:B40"/>
    <mergeCell ref="A10:C10"/>
    <mergeCell ref="A29:B29"/>
    <mergeCell ref="A30:C30"/>
    <mergeCell ref="A31:B31"/>
    <mergeCell ref="A32:B32"/>
    <mergeCell ref="A33:B33"/>
    <mergeCell ref="A34:B34"/>
    <mergeCell ref="A20:B20"/>
    <mergeCell ref="A24:B24"/>
    <mergeCell ref="A25:C25"/>
    <mergeCell ref="A26:B26"/>
    <mergeCell ref="A27:B27"/>
    <mergeCell ref="A28:B2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0:C40"/>
  <sheetViews>
    <sheetView topLeftCell="A25" workbookViewId="0">
      <selection sqref="A1:XFD1048576"/>
    </sheetView>
  </sheetViews>
  <sheetFormatPr defaultRowHeight="15" x14ac:dyDescent="0.25"/>
  <cols>
    <col min="1" max="1" width="10.7109375" bestFit="1" customWidth="1"/>
    <col min="2" max="2" width="69.42578125" customWidth="1"/>
    <col min="3" max="3" width="12.42578125" customWidth="1"/>
  </cols>
  <sheetData>
    <row r="10" spans="1:3" x14ac:dyDescent="0.25">
      <c r="A10" s="245" t="s">
        <v>228</v>
      </c>
      <c r="B10" s="245"/>
      <c r="C10" s="245"/>
    </row>
    <row r="15" spans="1:3" x14ac:dyDescent="0.25">
      <c r="A15" s="94" t="s">
        <v>3</v>
      </c>
      <c r="B15" s="96" t="s">
        <v>23</v>
      </c>
      <c r="C15" s="94" t="s">
        <v>211</v>
      </c>
    </row>
    <row r="16" spans="1:3" x14ac:dyDescent="0.25">
      <c r="A16" s="92">
        <v>44287</v>
      </c>
      <c r="B16" s="22" t="s">
        <v>229</v>
      </c>
      <c r="C16" s="93">
        <v>14674</v>
      </c>
    </row>
    <row r="17" spans="1:3" x14ac:dyDescent="0.25">
      <c r="A17" s="92">
        <v>44313</v>
      </c>
      <c r="B17" s="22" t="s">
        <v>230</v>
      </c>
      <c r="C17" s="93">
        <v>1488.09</v>
      </c>
    </row>
    <row r="18" spans="1:3" x14ac:dyDescent="0.25">
      <c r="A18" s="92">
        <v>44313</v>
      </c>
      <c r="B18" s="22" t="s">
        <v>231</v>
      </c>
      <c r="C18" s="93">
        <v>2120.19</v>
      </c>
    </row>
    <row r="19" spans="1:3" x14ac:dyDescent="0.25">
      <c r="A19" s="92">
        <v>44313</v>
      </c>
      <c r="B19" s="22" t="s">
        <v>232</v>
      </c>
      <c r="C19" s="93">
        <v>1680.37</v>
      </c>
    </row>
    <row r="20" spans="1:3" x14ac:dyDescent="0.25">
      <c r="A20" s="244" t="s">
        <v>47</v>
      </c>
      <c r="B20" s="244"/>
      <c r="C20" s="93">
        <f>SUM(C16:C19)</f>
        <v>19962.649999999998</v>
      </c>
    </row>
    <row r="21" spans="1:3" x14ac:dyDescent="0.25">
      <c r="A21" s="94" t="s">
        <v>3</v>
      </c>
      <c r="B21" s="94" t="s">
        <v>24</v>
      </c>
      <c r="C21" s="94" t="s">
        <v>211</v>
      </c>
    </row>
    <row r="22" spans="1:3" x14ac:dyDescent="0.25">
      <c r="A22" s="92">
        <v>44313</v>
      </c>
      <c r="B22" s="22" t="s">
        <v>233</v>
      </c>
      <c r="C22" s="93">
        <v>113.2</v>
      </c>
    </row>
    <row r="23" spans="1:3" x14ac:dyDescent="0.25">
      <c r="A23" s="92">
        <v>44316</v>
      </c>
      <c r="B23" s="22" t="s">
        <v>210</v>
      </c>
      <c r="C23" s="93">
        <f>1.5+2.49+0.38</f>
        <v>4.37</v>
      </c>
    </row>
    <row r="24" spans="1:3" x14ac:dyDescent="0.25">
      <c r="A24" s="244" t="s">
        <v>47</v>
      </c>
      <c r="B24" s="244"/>
      <c r="C24" s="93">
        <f>SUM(C22:C23)</f>
        <v>117.57000000000001</v>
      </c>
    </row>
    <row r="25" spans="1:3" x14ac:dyDescent="0.25">
      <c r="A25" s="245" t="s">
        <v>212</v>
      </c>
      <c r="B25" s="245"/>
      <c r="C25" s="245"/>
    </row>
    <row r="26" spans="1:3" x14ac:dyDescent="0.25">
      <c r="A26" s="244" t="s">
        <v>23</v>
      </c>
      <c r="B26" s="244"/>
      <c r="C26" s="93">
        <f>C20</f>
        <v>19962.649999999998</v>
      </c>
    </row>
    <row r="27" spans="1:3" x14ac:dyDescent="0.25">
      <c r="A27" s="244" t="s">
        <v>24</v>
      </c>
      <c r="B27" s="244"/>
      <c r="C27" s="93">
        <f>C24</f>
        <v>117.57000000000001</v>
      </c>
    </row>
    <row r="28" spans="1:3" x14ac:dyDescent="0.25">
      <c r="A28" s="244" t="s">
        <v>209</v>
      </c>
      <c r="B28" s="244"/>
      <c r="C28" s="93">
        <v>0</v>
      </c>
    </row>
    <row r="29" spans="1:3" x14ac:dyDescent="0.25">
      <c r="A29" s="244" t="s">
        <v>47</v>
      </c>
      <c r="B29" s="244"/>
      <c r="C29" s="93">
        <f>SUM(C26:C28)</f>
        <v>20080.219999999998</v>
      </c>
    </row>
    <row r="30" spans="1:3" x14ac:dyDescent="0.25">
      <c r="A30" s="245" t="s">
        <v>49</v>
      </c>
      <c r="B30" s="245"/>
      <c r="C30" s="245"/>
    </row>
    <row r="31" spans="1:3" x14ac:dyDescent="0.25">
      <c r="A31" s="244" t="s">
        <v>213</v>
      </c>
      <c r="B31" s="244"/>
      <c r="C31" s="93">
        <f>Março!E76</f>
        <v>28139.58</v>
      </c>
    </row>
    <row r="32" spans="1:3" x14ac:dyDescent="0.25">
      <c r="A32" s="244" t="s">
        <v>214</v>
      </c>
      <c r="B32" s="244"/>
      <c r="C32" s="93">
        <v>15.05</v>
      </c>
    </row>
    <row r="33" spans="1:3" x14ac:dyDescent="0.25">
      <c r="A33" s="244" t="s">
        <v>215</v>
      </c>
      <c r="B33" s="244"/>
      <c r="C33" s="93">
        <v>22800</v>
      </c>
    </row>
    <row r="34" spans="1:3" x14ac:dyDescent="0.25">
      <c r="A34" s="244" t="s">
        <v>209</v>
      </c>
      <c r="B34" s="244"/>
      <c r="C34" s="93"/>
    </row>
    <row r="35" spans="1:3" x14ac:dyDescent="0.25">
      <c r="A35" s="244" t="s">
        <v>47</v>
      </c>
      <c r="B35" s="244"/>
      <c r="C35" s="93">
        <f>SUM(C31:C34)</f>
        <v>50954.630000000005</v>
      </c>
    </row>
    <row r="40" spans="1:3" x14ac:dyDescent="0.25">
      <c r="A40" s="245" t="s">
        <v>216</v>
      </c>
      <c r="B40" s="245"/>
      <c r="C40" s="95">
        <f>C35-C29</f>
        <v>30874.410000000007</v>
      </c>
    </row>
  </sheetData>
  <mergeCells count="15">
    <mergeCell ref="A34:B34"/>
    <mergeCell ref="A35:B35"/>
    <mergeCell ref="A40:B40"/>
    <mergeCell ref="A28:B28"/>
    <mergeCell ref="A29:B29"/>
    <mergeCell ref="A30:C30"/>
    <mergeCell ref="A31:B31"/>
    <mergeCell ref="A32:B32"/>
    <mergeCell ref="A33:B33"/>
    <mergeCell ref="A27:B27"/>
    <mergeCell ref="A10:C10"/>
    <mergeCell ref="A20:B20"/>
    <mergeCell ref="A24:B24"/>
    <mergeCell ref="A25:C25"/>
    <mergeCell ref="A26:B2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0:D40"/>
  <sheetViews>
    <sheetView topLeftCell="A28" workbookViewId="0">
      <selection activeCell="C46" sqref="C46"/>
    </sheetView>
  </sheetViews>
  <sheetFormatPr defaultRowHeight="15" x14ac:dyDescent="0.25"/>
  <cols>
    <col min="1" max="1" width="10.7109375" bestFit="1" customWidth="1"/>
    <col min="2" max="2" width="69.42578125" customWidth="1"/>
    <col min="3" max="3" width="12.42578125" customWidth="1"/>
  </cols>
  <sheetData>
    <row r="10" spans="1:3" x14ac:dyDescent="0.25">
      <c r="A10" s="245" t="s">
        <v>237</v>
      </c>
      <c r="B10" s="245"/>
      <c r="C10" s="245"/>
    </row>
    <row r="13" spans="1:3" x14ac:dyDescent="0.25">
      <c r="A13" s="94" t="s">
        <v>3</v>
      </c>
      <c r="B13" s="96" t="s">
        <v>23</v>
      </c>
      <c r="C13" s="94" t="s">
        <v>211</v>
      </c>
    </row>
    <row r="14" spans="1:3" x14ac:dyDescent="0.25">
      <c r="A14" s="92">
        <v>44319</v>
      </c>
      <c r="B14" s="22" t="s">
        <v>238</v>
      </c>
      <c r="C14" s="93">
        <v>14669</v>
      </c>
    </row>
    <row r="15" spans="1:3" x14ac:dyDescent="0.25">
      <c r="A15" s="92">
        <v>44336</v>
      </c>
      <c r="B15" s="22" t="s">
        <v>239</v>
      </c>
      <c r="C15" s="93">
        <v>1488.09</v>
      </c>
    </row>
    <row r="16" spans="1:3" x14ac:dyDescent="0.25">
      <c r="A16" s="92">
        <v>44336</v>
      </c>
      <c r="B16" s="22" t="s">
        <v>240</v>
      </c>
      <c r="C16" s="93">
        <v>2120.19</v>
      </c>
    </row>
    <row r="17" spans="1:3" x14ac:dyDescent="0.25">
      <c r="A17" s="92">
        <v>44336</v>
      </c>
      <c r="B17" s="22" t="s">
        <v>241</v>
      </c>
      <c r="C17" s="93">
        <v>1680.37</v>
      </c>
    </row>
    <row r="18" spans="1:3" x14ac:dyDescent="0.25">
      <c r="A18" s="244" t="s">
        <v>47</v>
      </c>
      <c r="B18" s="244"/>
      <c r="C18" s="93">
        <f>SUM(C14:C17)</f>
        <v>19957.649999999998</v>
      </c>
    </row>
    <row r="19" spans="1:3" x14ac:dyDescent="0.25">
      <c r="A19" s="94" t="s">
        <v>3</v>
      </c>
      <c r="B19" s="94" t="s">
        <v>24</v>
      </c>
      <c r="C19" s="94" t="s">
        <v>211</v>
      </c>
    </row>
    <row r="20" spans="1:3" x14ac:dyDescent="0.25">
      <c r="A20" s="92">
        <v>44336</v>
      </c>
      <c r="B20" s="22" t="s">
        <v>242</v>
      </c>
      <c r="C20" s="93">
        <v>113.2</v>
      </c>
    </row>
    <row r="21" spans="1:3" x14ac:dyDescent="0.25">
      <c r="A21" s="92">
        <v>44336</v>
      </c>
      <c r="B21" s="22" t="s">
        <v>243</v>
      </c>
      <c r="C21" s="93">
        <v>1710.92</v>
      </c>
    </row>
    <row r="22" spans="1:3" x14ac:dyDescent="0.25">
      <c r="A22" s="92">
        <v>44347</v>
      </c>
      <c r="B22" s="22" t="s">
        <v>210</v>
      </c>
      <c r="C22" s="93">
        <f>1.5+0.5+7.51+1.04</f>
        <v>10.55</v>
      </c>
    </row>
    <row r="23" spans="1:3" x14ac:dyDescent="0.25">
      <c r="A23" s="244" t="s">
        <v>47</v>
      </c>
      <c r="B23" s="244"/>
      <c r="C23" s="93">
        <f>SUM(C20:C22)</f>
        <v>1834.67</v>
      </c>
    </row>
    <row r="24" spans="1:3" x14ac:dyDescent="0.25">
      <c r="A24" s="245" t="s">
        <v>212</v>
      </c>
      <c r="B24" s="245"/>
      <c r="C24" s="245"/>
    </row>
    <row r="25" spans="1:3" x14ac:dyDescent="0.25">
      <c r="A25" s="244" t="s">
        <v>23</v>
      </c>
      <c r="B25" s="244"/>
      <c r="C25" s="93">
        <f>C18</f>
        <v>19957.649999999998</v>
      </c>
    </row>
    <row r="26" spans="1:3" x14ac:dyDescent="0.25">
      <c r="A26" s="244" t="s">
        <v>24</v>
      </c>
      <c r="B26" s="244"/>
      <c r="C26" s="93">
        <f>C23</f>
        <v>1834.67</v>
      </c>
    </row>
    <row r="27" spans="1:3" x14ac:dyDescent="0.25">
      <c r="A27" s="244" t="s">
        <v>209</v>
      </c>
      <c r="B27" s="244"/>
      <c r="C27" s="93">
        <v>0</v>
      </c>
    </row>
    <row r="28" spans="1:3" x14ac:dyDescent="0.25">
      <c r="A28" s="244" t="s">
        <v>47</v>
      </c>
      <c r="B28" s="244"/>
      <c r="C28" s="93">
        <f>SUM(C25:C27)</f>
        <v>21792.32</v>
      </c>
    </row>
    <row r="29" spans="1:3" x14ac:dyDescent="0.25">
      <c r="A29" s="245" t="s">
        <v>49</v>
      </c>
      <c r="B29" s="245"/>
      <c r="C29" s="245"/>
    </row>
    <row r="30" spans="1:3" x14ac:dyDescent="0.25">
      <c r="A30" s="244" t="s">
        <v>213</v>
      </c>
      <c r="B30" s="244"/>
      <c r="C30" s="93">
        <f>'Con-Abril'!C40</f>
        <v>30874.410000000007</v>
      </c>
    </row>
    <row r="31" spans="1:3" x14ac:dyDescent="0.25">
      <c r="A31" s="244" t="s">
        <v>214</v>
      </c>
      <c r="B31" s="244"/>
      <c r="C31" s="93">
        <v>27.55</v>
      </c>
    </row>
    <row r="32" spans="1:3" x14ac:dyDescent="0.25">
      <c r="A32" s="244" t="s">
        <v>215</v>
      </c>
      <c r="B32" s="244"/>
      <c r="C32" s="93">
        <v>22800</v>
      </c>
    </row>
    <row r="33" spans="1:4" x14ac:dyDescent="0.25">
      <c r="A33" s="244" t="s">
        <v>209</v>
      </c>
      <c r="B33" s="244"/>
      <c r="C33" s="93"/>
    </row>
    <row r="34" spans="1:4" x14ac:dyDescent="0.25">
      <c r="A34" s="244" t="s">
        <v>47</v>
      </c>
      <c r="B34" s="244"/>
      <c r="C34" s="93">
        <f>SUM(C30:C33)</f>
        <v>53701.960000000006</v>
      </c>
    </row>
    <row r="39" spans="1:4" x14ac:dyDescent="0.25">
      <c r="A39" s="245" t="s">
        <v>216</v>
      </c>
      <c r="B39" s="245"/>
      <c r="C39" s="95">
        <f>C34-C28</f>
        <v>31909.640000000007</v>
      </c>
    </row>
    <row r="40" spans="1:4" x14ac:dyDescent="0.25">
      <c r="D40" s="97"/>
    </row>
  </sheetData>
  <mergeCells count="15">
    <mergeCell ref="A26:B26"/>
    <mergeCell ref="A10:C10"/>
    <mergeCell ref="A18:B18"/>
    <mergeCell ref="A23:B23"/>
    <mergeCell ref="A24:C24"/>
    <mergeCell ref="A25:B25"/>
    <mergeCell ref="A33:B33"/>
    <mergeCell ref="A34:B34"/>
    <mergeCell ref="A39:B39"/>
    <mergeCell ref="A27:B27"/>
    <mergeCell ref="A28:B28"/>
    <mergeCell ref="A29:C29"/>
    <mergeCell ref="A30:B30"/>
    <mergeCell ref="A31:B31"/>
    <mergeCell ref="A32:B32"/>
  </mergeCells>
  <pageMargins left="0.31496062992125984" right="0.11811023622047245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9:J78"/>
  <sheetViews>
    <sheetView topLeftCell="A5" workbookViewId="0">
      <selection activeCell="H51" sqref="H51"/>
    </sheetView>
  </sheetViews>
  <sheetFormatPr defaultColWidth="9.140625" defaultRowHeight="12.75" x14ac:dyDescent="0.2"/>
  <cols>
    <col min="1" max="1" width="18.85546875" style="98" bestFit="1" customWidth="1"/>
    <col min="2" max="2" width="31.140625" style="98" customWidth="1"/>
    <col min="3" max="3" width="13.5703125" style="98" bestFit="1" customWidth="1"/>
    <col min="4" max="5" width="14" style="98" bestFit="1" customWidth="1"/>
    <col min="6" max="6" width="13.28515625" style="98" bestFit="1" customWidth="1"/>
    <col min="7" max="7" width="13.28515625" style="98" customWidth="1"/>
    <col min="8" max="8" width="15.140625" style="98" bestFit="1" customWidth="1"/>
    <col min="9" max="9" width="8.85546875" style="98" bestFit="1" customWidth="1"/>
    <col min="10" max="16384" width="9.140625" style="98"/>
  </cols>
  <sheetData>
    <row r="9" spans="1:10" ht="17.25" x14ac:dyDescent="0.2">
      <c r="A9" s="158" t="s">
        <v>280</v>
      </c>
      <c r="B9" s="159"/>
      <c r="C9" s="159"/>
      <c r="D9" s="159"/>
      <c r="E9" s="159"/>
      <c r="F9" s="159"/>
      <c r="G9" s="159"/>
      <c r="H9" s="159"/>
      <c r="I9" s="160"/>
    </row>
    <row r="10" spans="1:10" ht="12" customHeight="1" x14ac:dyDescent="0.2">
      <c r="A10" s="155" t="s">
        <v>244</v>
      </c>
      <c r="B10" s="156"/>
      <c r="C10" s="156"/>
      <c r="D10" s="156"/>
      <c r="E10" s="156"/>
      <c r="F10" s="156"/>
      <c r="G10" s="156"/>
      <c r="H10" s="156"/>
      <c r="I10" s="157"/>
    </row>
    <row r="11" spans="1:10" x14ac:dyDescent="0.2">
      <c r="A11" s="99" t="s">
        <v>245</v>
      </c>
      <c r="B11" s="100" t="s">
        <v>246</v>
      </c>
      <c r="C11" s="100" t="s">
        <v>247</v>
      </c>
      <c r="D11" s="135" t="s">
        <v>275</v>
      </c>
      <c r="E11" s="101" t="s">
        <v>65</v>
      </c>
      <c r="F11" s="135" t="s">
        <v>66</v>
      </c>
      <c r="G11" s="135" t="s">
        <v>262</v>
      </c>
      <c r="H11" s="135" t="s">
        <v>261</v>
      </c>
      <c r="I11" s="135" t="s">
        <v>263</v>
      </c>
      <c r="J11" s="153" t="s">
        <v>281</v>
      </c>
    </row>
    <row r="12" spans="1:10" hidden="1" x14ac:dyDescent="0.2">
      <c r="A12" s="102" t="s">
        <v>249</v>
      </c>
      <c r="B12" s="103" t="s">
        <v>250</v>
      </c>
      <c r="C12" s="103">
        <v>7458</v>
      </c>
      <c r="D12" s="142" t="s">
        <v>251</v>
      </c>
      <c r="E12" s="103"/>
      <c r="F12" s="104"/>
      <c r="G12" s="138"/>
      <c r="H12" s="139"/>
      <c r="I12" s="139"/>
      <c r="J12" s="152"/>
    </row>
    <row r="13" spans="1:10" hidden="1" x14ac:dyDescent="0.2">
      <c r="A13" s="102" t="s">
        <v>249</v>
      </c>
      <c r="B13" s="103" t="s">
        <v>252</v>
      </c>
      <c r="C13" s="103">
        <v>3565</v>
      </c>
      <c r="D13" s="142" t="s">
        <v>251</v>
      </c>
      <c r="E13" s="103"/>
      <c r="F13" s="104"/>
      <c r="G13" s="136"/>
      <c r="H13" s="137"/>
      <c r="I13" s="137"/>
      <c r="J13" s="148"/>
    </row>
    <row r="14" spans="1:10" hidden="1" x14ac:dyDescent="0.2">
      <c r="A14" s="102" t="s">
        <v>249</v>
      </c>
      <c r="B14" s="103" t="s">
        <v>253</v>
      </c>
      <c r="C14" s="103">
        <v>3652</v>
      </c>
      <c r="D14" s="142" t="s">
        <v>251</v>
      </c>
      <c r="E14" s="103"/>
      <c r="F14" s="104"/>
      <c r="G14" s="136"/>
      <c r="H14" s="137"/>
      <c r="I14" s="137"/>
      <c r="J14" s="148"/>
    </row>
    <row r="15" spans="1:10" hidden="1" x14ac:dyDescent="0.2">
      <c r="A15" s="102" t="s">
        <v>249</v>
      </c>
      <c r="B15" s="103" t="s">
        <v>250</v>
      </c>
      <c r="C15" s="103">
        <v>7432</v>
      </c>
      <c r="D15" s="142" t="s">
        <v>254</v>
      </c>
      <c r="E15" s="103"/>
      <c r="F15" s="104"/>
      <c r="G15" s="136"/>
      <c r="H15" s="137"/>
      <c r="I15" s="137"/>
      <c r="J15" s="148"/>
    </row>
    <row r="16" spans="1:10" hidden="1" x14ac:dyDescent="0.2">
      <c r="A16" s="102" t="s">
        <v>249</v>
      </c>
      <c r="B16" s="103" t="s">
        <v>252</v>
      </c>
      <c r="C16" s="103">
        <v>3567</v>
      </c>
      <c r="D16" s="142" t="s">
        <v>254</v>
      </c>
      <c r="E16" s="103"/>
      <c r="F16" s="104"/>
      <c r="G16" s="136"/>
      <c r="H16" s="137"/>
      <c r="I16" s="137"/>
      <c r="J16" s="148"/>
    </row>
    <row r="17" spans="1:10" hidden="1" x14ac:dyDescent="0.2">
      <c r="A17" s="102" t="s">
        <v>249</v>
      </c>
      <c r="B17" s="103" t="s">
        <v>253</v>
      </c>
      <c r="C17" s="103">
        <v>3652</v>
      </c>
      <c r="D17" s="142" t="s">
        <v>254</v>
      </c>
      <c r="E17" s="103"/>
      <c r="F17" s="104"/>
      <c r="G17" s="136"/>
      <c r="H17" s="137"/>
      <c r="I17" s="137"/>
      <c r="J17" s="148"/>
    </row>
    <row r="18" spans="1:10" hidden="1" x14ac:dyDescent="0.2">
      <c r="A18" s="102" t="s">
        <v>249</v>
      </c>
      <c r="B18" s="103" t="s">
        <v>250</v>
      </c>
      <c r="C18" s="103">
        <v>7458</v>
      </c>
      <c r="D18" s="142" t="s">
        <v>255</v>
      </c>
      <c r="E18" s="103"/>
      <c r="F18" s="104"/>
      <c r="G18" s="136"/>
      <c r="H18" s="137"/>
      <c r="I18" s="137"/>
      <c r="J18" s="148"/>
    </row>
    <row r="19" spans="1:10" hidden="1" x14ac:dyDescent="0.2">
      <c r="A19" s="102" t="s">
        <v>249</v>
      </c>
      <c r="B19" s="103" t="s">
        <v>252</v>
      </c>
      <c r="C19" s="103">
        <v>3567</v>
      </c>
      <c r="D19" s="142" t="s">
        <v>255</v>
      </c>
      <c r="E19" s="103"/>
      <c r="F19" s="104"/>
      <c r="G19" s="136"/>
      <c r="H19" s="137"/>
      <c r="I19" s="137"/>
      <c r="J19" s="148"/>
    </row>
    <row r="20" spans="1:10" hidden="1" x14ac:dyDescent="0.2">
      <c r="A20" s="102" t="s">
        <v>249</v>
      </c>
      <c r="B20" s="103" t="s">
        <v>253</v>
      </c>
      <c r="C20" s="103">
        <v>3652</v>
      </c>
      <c r="D20" s="142" t="s">
        <v>255</v>
      </c>
      <c r="E20" s="103"/>
      <c r="F20" s="104"/>
      <c r="G20" s="136"/>
      <c r="H20" s="137"/>
      <c r="I20" s="137"/>
      <c r="J20" s="148"/>
    </row>
    <row r="21" spans="1:10" hidden="1" x14ac:dyDescent="0.2">
      <c r="A21" s="102" t="s">
        <v>249</v>
      </c>
      <c r="B21" s="103" t="s">
        <v>250</v>
      </c>
      <c r="C21" s="103">
        <v>7456</v>
      </c>
      <c r="D21" s="142" t="s">
        <v>256</v>
      </c>
      <c r="E21" s="103"/>
      <c r="F21" s="104"/>
      <c r="G21" s="136"/>
      <c r="H21" s="137"/>
      <c r="I21" s="137"/>
      <c r="J21" s="148"/>
    </row>
    <row r="22" spans="1:10" hidden="1" x14ac:dyDescent="0.2">
      <c r="A22" s="102" t="s">
        <v>249</v>
      </c>
      <c r="B22" s="103" t="s">
        <v>252</v>
      </c>
      <c r="C22" s="103">
        <v>3564</v>
      </c>
      <c r="D22" s="142" t="s">
        <v>256</v>
      </c>
      <c r="E22" s="103"/>
      <c r="F22" s="104"/>
      <c r="G22" s="136"/>
      <c r="H22" s="137"/>
      <c r="I22" s="137"/>
      <c r="J22" s="148"/>
    </row>
    <row r="23" spans="1:10" hidden="1" x14ac:dyDescent="0.2">
      <c r="A23" s="102" t="s">
        <v>249</v>
      </c>
      <c r="B23" s="103" t="s">
        <v>253</v>
      </c>
      <c r="C23" s="103">
        <v>3649</v>
      </c>
      <c r="D23" s="142" t="s">
        <v>256</v>
      </c>
      <c r="E23" s="103"/>
      <c r="F23" s="104"/>
      <c r="G23" s="136"/>
      <c r="H23" s="137"/>
      <c r="I23" s="137"/>
      <c r="J23" s="148"/>
    </row>
    <row r="24" spans="1:10" hidden="1" x14ac:dyDescent="0.2">
      <c r="A24" s="102" t="s">
        <v>249</v>
      </c>
      <c r="B24" s="103" t="s">
        <v>250</v>
      </c>
      <c r="C24" s="103">
        <v>7456</v>
      </c>
      <c r="D24" s="143" t="s">
        <v>273</v>
      </c>
      <c r="E24" s="103">
        <v>751.97</v>
      </c>
      <c r="F24" s="104">
        <v>1631.22</v>
      </c>
      <c r="G24" s="136">
        <v>0</v>
      </c>
      <c r="H24" s="137">
        <v>0</v>
      </c>
      <c r="I24" s="137">
        <v>0</v>
      </c>
      <c r="J24" s="148"/>
    </row>
    <row r="25" spans="1:10" hidden="1" x14ac:dyDescent="0.2">
      <c r="A25" s="102" t="s">
        <v>249</v>
      </c>
      <c r="B25" s="103" t="s">
        <v>252</v>
      </c>
      <c r="C25" s="103">
        <v>2646</v>
      </c>
      <c r="D25" s="143" t="s">
        <v>273</v>
      </c>
      <c r="E25" s="103">
        <f>390.59+120.86</f>
        <v>511.45</v>
      </c>
      <c r="F25" s="104">
        <v>70.5</v>
      </c>
      <c r="G25" s="136">
        <v>0</v>
      </c>
      <c r="H25" s="137">
        <v>113.2</v>
      </c>
      <c r="I25" s="137">
        <v>0</v>
      </c>
      <c r="J25" s="148"/>
    </row>
    <row r="26" spans="1:10" hidden="1" x14ac:dyDescent="0.2">
      <c r="A26" s="102" t="s">
        <v>249</v>
      </c>
      <c r="B26" s="103" t="s">
        <v>253</v>
      </c>
      <c r="C26" s="103">
        <v>3650</v>
      </c>
      <c r="D26" s="144" t="s">
        <v>273</v>
      </c>
      <c r="E26" s="103">
        <v>461.27</v>
      </c>
      <c r="F26" s="104">
        <v>240.43</v>
      </c>
      <c r="G26" s="140">
        <v>0</v>
      </c>
      <c r="H26" s="141">
        <v>0</v>
      </c>
      <c r="I26" s="141">
        <v>0</v>
      </c>
      <c r="J26" s="148"/>
    </row>
    <row r="27" spans="1:10" x14ac:dyDescent="0.2">
      <c r="A27" s="102" t="s">
        <v>249</v>
      </c>
      <c r="B27" s="103" t="s">
        <v>250</v>
      </c>
      <c r="C27" s="103">
        <v>7456</v>
      </c>
      <c r="D27" s="148" t="s">
        <v>279</v>
      </c>
      <c r="E27" s="103">
        <v>751.97</v>
      </c>
      <c r="F27" s="104">
        <v>1631.22</v>
      </c>
      <c r="G27" s="136">
        <v>0</v>
      </c>
      <c r="H27" s="137">
        <v>0</v>
      </c>
      <c r="I27" s="137">
        <v>0</v>
      </c>
      <c r="J27" s="148"/>
    </row>
    <row r="28" spans="1:10" x14ac:dyDescent="0.2">
      <c r="A28" s="102" t="s">
        <v>249</v>
      </c>
      <c r="B28" s="103" t="s">
        <v>252</v>
      </c>
      <c r="C28" s="103">
        <v>3344</v>
      </c>
      <c r="D28" s="148" t="s">
        <v>279</v>
      </c>
      <c r="E28" s="103">
        <f>447.99+30.22</f>
        <v>478.21000000000004</v>
      </c>
      <c r="F28" s="104">
        <v>193.86</v>
      </c>
      <c r="G28" s="136">
        <v>0</v>
      </c>
      <c r="H28" s="137">
        <v>113.2</v>
      </c>
      <c r="I28" s="137">
        <v>0</v>
      </c>
      <c r="J28" s="148"/>
    </row>
    <row r="29" spans="1:10" x14ac:dyDescent="0.2">
      <c r="A29" s="102" t="s">
        <v>249</v>
      </c>
      <c r="B29" s="103" t="s">
        <v>253</v>
      </c>
      <c r="C29" s="103">
        <v>3650</v>
      </c>
      <c r="D29" s="149" t="s">
        <v>279</v>
      </c>
      <c r="E29" s="103">
        <v>461.27</v>
      </c>
      <c r="F29" s="104">
        <v>240.43</v>
      </c>
      <c r="G29" s="140">
        <v>0</v>
      </c>
      <c r="H29" s="141">
        <v>0</v>
      </c>
      <c r="I29" s="141">
        <v>0</v>
      </c>
      <c r="J29" s="148"/>
    </row>
    <row r="30" spans="1:10" hidden="1" x14ac:dyDescent="0.2">
      <c r="A30" s="145"/>
      <c r="B30" s="146"/>
      <c r="C30" s="146"/>
      <c r="D30" s="144"/>
      <c r="E30" s="146"/>
      <c r="F30" s="147"/>
      <c r="G30" s="140"/>
      <c r="H30" s="141"/>
      <c r="I30" s="141"/>
      <c r="J30" s="149"/>
    </row>
    <row r="31" spans="1:10" x14ac:dyDescent="0.2">
      <c r="A31" s="105"/>
      <c r="B31" s="106"/>
      <c r="C31" s="107">
        <f>SUBTOTAL(109,Tabela133[Liquido])</f>
        <v>14450</v>
      </c>
      <c r="D31" s="106"/>
      <c r="E31" s="107">
        <f>SUBTOTAL(109,Tabela133[INSS])</f>
        <v>1691.45</v>
      </c>
      <c r="F31" s="107">
        <f>SUBTOTAL(109,Tabela133[IRRF])</f>
        <v>2065.5099999999998</v>
      </c>
      <c r="G31" s="107">
        <f>SUBTOTAL(109,Tabela133[UNIMED])</f>
        <v>0</v>
      </c>
      <c r="H31" s="107">
        <f>SUBTOTAL(109,Tabela133[UNIODONTO])</f>
        <v>113.2</v>
      </c>
      <c r="I31" s="107">
        <f>SUBTOTAL(109,Tabela133[FARMACIA])</f>
        <v>0</v>
      </c>
      <c r="J31" s="154"/>
    </row>
    <row r="32" spans="1:10" x14ac:dyDescent="0.2">
      <c r="C32" s="110"/>
      <c r="D32" s="110"/>
      <c r="E32" s="110"/>
      <c r="F32" s="109"/>
      <c r="G32" s="109"/>
    </row>
    <row r="33" spans="1:9" x14ac:dyDescent="0.2">
      <c r="A33" s="249" t="s">
        <v>258</v>
      </c>
      <c r="B33" s="249"/>
      <c r="C33" s="249"/>
      <c r="D33" s="249"/>
      <c r="E33" s="249"/>
      <c r="F33" s="249"/>
      <c r="G33" s="249"/>
      <c r="H33" s="249"/>
      <c r="I33" s="249"/>
    </row>
    <row r="34" spans="1:9" x14ac:dyDescent="0.2">
      <c r="A34" s="111" t="s">
        <v>259</v>
      </c>
      <c r="B34" s="112" t="s">
        <v>260</v>
      </c>
      <c r="C34" s="112" t="s">
        <v>59</v>
      </c>
      <c r="D34" s="112" t="s">
        <v>65</v>
      </c>
      <c r="E34" s="112" t="s">
        <v>66</v>
      </c>
      <c r="F34" s="112" t="s">
        <v>261</v>
      </c>
      <c r="G34" s="112" t="s">
        <v>262</v>
      </c>
      <c r="H34" s="112" t="s">
        <v>263</v>
      </c>
      <c r="I34" s="113" t="s">
        <v>248</v>
      </c>
    </row>
    <row r="35" spans="1:9" hidden="1" x14ac:dyDescent="0.2">
      <c r="A35" s="130" t="s">
        <v>249</v>
      </c>
      <c r="B35" s="114">
        <v>14675</v>
      </c>
      <c r="C35" s="114">
        <v>1488.09</v>
      </c>
      <c r="D35" s="114">
        <v>1680.37</v>
      </c>
      <c r="E35" s="115">
        <v>2120.19</v>
      </c>
      <c r="F35" s="114">
        <v>113.2</v>
      </c>
      <c r="G35" s="114">
        <v>0</v>
      </c>
      <c r="H35" s="114">
        <v>0</v>
      </c>
      <c r="I35" s="116" t="s">
        <v>251</v>
      </c>
    </row>
    <row r="36" spans="1:9" hidden="1" x14ac:dyDescent="0.2">
      <c r="A36" s="130" t="s">
        <v>249</v>
      </c>
      <c r="B36" s="114">
        <v>14651</v>
      </c>
      <c r="C36" s="114">
        <v>1488.09</v>
      </c>
      <c r="D36" s="114">
        <v>1680.37</v>
      </c>
      <c r="E36" s="115">
        <v>2120.19</v>
      </c>
      <c r="F36" s="114">
        <v>113.2</v>
      </c>
      <c r="G36" s="114">
        <v>0</v>
      </c>
      <c r="H36" s="114">
        <v>26.16</v>
      </c>
      <c r="I36" s="116" t="s">
        <v>254</v>
      </c>
    </row>
    <row r="37" spans="1:9" hidden="1" x14ac:dyDescent="0.2">
      <c r="A37" s="130" t="s">
        <v>249</v>
      </c>
      <c r="B37" s="114">
        <v>14677</v>
      </c>
      <c r="C37" s="114">
        <v>1488.09</v>
      </c>
      <c r="D37" s="114">
        <v>1680.37</v>
      </c>
      <c r="E37" s="115">
        <v>2120.19</v>
      </c>
      <c r="F37" s="114">
        <v>113.2</v>
      </c>
      <c r="G37" s="114">
        <v>0</v>
      </c>
      <c r="H37" s="114">
        <v>0</v>
      </c>
      <c r="I37" s="116" t="s">
        <v>255</v>
      </c>
    </row>
    <row r="38" spans="1:9" hidden="1" x14ac:dyDescent="0.2">
      <c r="A38" s="133" t="s">
        <v>249</v>
      </c>
      <c r="B38" s="117">
        <v>14669</v>
      </c>
      <c r="C38" s="117">
        <v>1488.09</v>
      </c>
      <c r="D38" s="117">
        <v>1680.37</v>
      </c>
      <c r="E38" s="118">
        <v>2120.19</v>
      </c>
      <c r="F38" s="117">
        <v>113.2</v>
      </c>
      <c r="G38" s="117">
        <v>0</v>
      </c>
      <c r="H38" s="117">
        <v>0</v>
      </c>
      <c r="I38" s="116" t="s">
        <v>256</v>
      </c>
    </row>
    <row r="39" spans="1:9" hidden="1" x14ac:dyDescent="0.2">
      <c r="A39" s="133" t="s">
        <v>249</v>
      </c>
      <c r="B39" s="117">
        <v>13752</v>
      </c>
      <c r="C39" s="117">
        <v>1513.41</v>
      </c>
      <c r="D39" s="117">
        <v>1724.69</v>
      </c>
      <c r="E39" s="118">
        <v>1942.15</v>
      </c>
      <c r="F39" s="117">
        <v>113.2</v>
      </c>
      <c r="G39" s="117">
        <v>0</v>
      </c>
      <c r="H39" s="117">
        <v>0</v>
      </c>
      <c r="I39" s="116" t="s">
        <v>257</v>
      </c>
    </row>
    <row r="40" spans="1:9" x14ac:dyDescent="0.2">
      <c r="A40" s="133" t="s">
        <v>249</v>
      </c>
      <c r="B40" s="117">
        <v>14449</v>
      </c>
      <c r="C40" s="117">
        <v>1494.42</v>
      </c>
      <c r="D40" s="117">
        <v>1691.45</v>
      </c>
      <c r="E40" s="118">
        <v>2065.5100000000002</v>
      </c>
      <c r="F40" s="117">
        <v>113.2</v>
      </c>
      <c r="G40" s="117">
        <v>0</v>
      </c>
      <c r="H40" s="117">
        <v>0</v>
      </c>
      <c r="I40" s="116" t="s">
        <v>279</v>
      </c>
    </row>
    <row r="41" spans="1:9" x14ac:dyDescent="0.2">
      <c r="A41" s="105"/>
      <c r="B41" s="107">
        <f>SUBTOTAL(109,Tabela154[FOLHA])</f>
        <v>14449</v>
      </c>
      <c r="C41" s="108">
        <f>SUBTOTAL(109,Tabela154[FGTS])</f>
        <v>1494.42</v>
      </c>
      <c r="D41" s="108">
        <f>SUBTOTAL(109,Tabela154[INSS])</f>
        <v>1691.45</v>
      </c>
      <c r="E41" s="108">
        <f>SUBTOTAL(109,Tabela154[IRRF])</f>
        <v>2065.5100000000002</v>
      </c>
      <c r="F41" s="108">
        <f>SUBTOTAL(109,Tabela154[UNIODONTO])</f>
        <v>113.2</v>
      </c>
      <c r="G41" s="108">
        <f>SUBTOTAL(109,Tabela154[UNIMED])</f>
        <v>0</v>
      </c>
      <c r="H41" s="108">
        <f>SUBTOTAL(109,Tabela154[FARMACIA])</f>
        <v>0</v>
      </c>
      <c r="I41" s="116"/>
    </row>
    <row r="42" spans="1:9" x14ac:dyDescent="0.2">
      <c r="A42" s="250" t="s">
        <v>264</v>
      </c>
      <c r="B42" s="250"/>
      <c r="C42" s="250"/>
      <c r="D42" s="251">
        <f>SUM(Tabela154[[#Totals],[FOLHA]:[FARMACIA]])</f>
        <v>19813.579999999998</v>
      </c>
      <c r="E42" s="251"/>
      <c r="F42" s="119"/>
      <c r="G42" s="119"/>
      <c r="H42" s="119"/>
    </row>
    <row r="43" spans="1:9" x14ac:dyDescent="0.2">
      <c r="A43" s="120"/>
      <c r="B43" s="120"/>
      <c r="C43" s="120"/>
      <c r="D43" s="121"/>
      <c r="E43" s="121"/>
      <c r="F43" s="119"/>
      <c r="G43" s="119"/>
      <c r="H43" s="119"/>
    </row>
    <row r="44" spans="1:9" x14ac:dyDescent="0.2">
      <c r="A44" s="246" t="s">
        <v>277</v>
      </c>
      <c r="B44" s="247"/>
      <c r="C44" s="247"/>
      <c r="D44" s="247"/>
      <c r="E44" s="247"/>
      <c r="F44" s="247"/>
      <c r="G44" s="247"/>
      <c r="H44" s="247"/>
      <c r="I44" s="248"/>
    </row>
    <row r="45" spans="1:9" x14ac:dyDescent="0.2">
      <c r="A45" s="126" t="s">
        <v>248</v>
      </c>
      <c r="B45" s="127" t="s">
        <v>271</v>
      </c>
      <c r="C45" s="128" t="s">
        <v>272</v>
      </c>
      <c r="D45" s="124"/>
      <c r="H45" s="124"/>
      <c r="I45" s="124"/>
    </row>
    <row r="46" spans="1:9" hidden="1" x14ac:dyDescent="0.2">
      <c r="A46" s="130" t="s">
        <v>276</v>
      </c>
      <c r="B46" s="123" t="s">
        <v>265</v>
      </c>
      <c r="C46" s="125">
        <v>18602.53</v>
      </c>
    </row>
    <row r="47" spans="1:9" hidden="1" x14ac:dyDescent="0.2">
      <c r="A47" s="130" t="s">
        <v>276</v>
      </c>
      <c r="B47" s="123" t="s">
        <v>59</v>
      </c>
      <c r="C47" s="125">
        <v>1488.09</v>
      </c>
    </row>
    <row r="48" spans="1:9" hidden="1" x14ac:dyDescent="0.2">
      <c r="A48" s="130" t="s">
        <v>273</v>
      </c>
      <c r="B48" s="123" t="s">
        <v>265</v>
      </c>
      <c r="C48" s="125">
        <v>18919.29</v>
      </c>
    </row>
    <row r="49" spans="1:3" hidden="1" x14ac:dyDescent="0.2">
      <c r="A49" s="130" t="s">
        <v>273</v>
      </c>
      <c r="B49" s="123" t="s">
        <v>59</v>
      </c>
      <c r="C49" s="125">
        <v>1513.41</v>
      </c>
    </row>
    <row r="50" spans="1:3" x14ac:dyDescent="0.2">
      <c r="A50" s="130" t="s">
        <v>279</v>
      </c>
      <c r="B50" s="123" t="s">
        <v>265</v>
      </c>
      <c r="C50" s="125">
        <v>18680.7</v>
      </c>
    </row>
    <row r="51" spans="1:3" x14ac:dyDescent="0.2">
      <c r="A51" s="130" t="s">
        <v>279</v>
      </c>
      <c r="B51" s="123" t="s">
        <v>59</v>
      </c>
      <c r="C51" s="125">
        <v>1494.42</v>
      </c>
    </row>
    <row r="52" spans="1:3" x14ac:dyDescent="0.2">
      <c r="A52" s="105"/>
      <c r="B52" s="106"/>
      <c r="C52" s="150">
        <f>SUBTOTAL(109,Tabela3[Valor])</f>
        <v>20175.120000000003</v>
      </c>
    </row>
    <row r="53" spans="1:3" x14ac:dyDescent="0.2">
      <c r="C53" s="122"/>
    </row>
    <row r="54" spans="1:3" x14ac:dyDescent="0.2">
      <c r="A54" s="126" t="s">
        <v>275</v>
      </c>
      <c r="B54" s="127" t="s">
        <v>260</v>
      </c>
      <c r="C54" s="128" t="s">
        <v>211</v>
      </c>
    </row>
    <row r="55" spans="1:3" hidden="1" x14ac:dyDescent="0.2">
      <c r="A55" s="130" t="s">
        <v>276</v>
      </c>
      <c r="B55" s="129" t="s">
        <v>266</v>
      </c>
      <c r="C55" s="131">
        <v>20078.849999999999</v>
      </c>
    </row>
    <row r="56" spans="1:3" hidden="1" x14ac:dyDescent="0.2">
      <c r="A56" s="130" t="s">
        <v>276</v>
      </c>
      <c r="B56" s="129" t="s">
        <v>267</v>
      </c>
      <c r="C56" s="131">
        <v>11.77</v>
      </c>
    </row>
    <row r="57" spans="1:3" hidden="1" x14ac:dyDescent="0.2">
      <c r="A57" s="130" t="s">
        <v>276</v>
      </c>
      <c r="B57" s="129" t="s">
        <v>268</v>
      </c>
      <c r="C57" s="131">
        <v>0</v>
      </c>
    </row>
    <row r="58" spans="1:3" hidden="1" x14ac:dyDescent="0.2">
      <c r="A58" s="130" t="s">
        <v>276</v>
      </c>
      <c r="B58" s="129" t="s">
        <v>269</v>
      </c>
      <c r="C58" s="131">
        <v>0</v>
      </c>
    </row>
    <row r="59" spans="1:3" hidden="1" x14ac:dyDescent="0.2">
      <c r="A59" s="130" t="s">
        <v>276</v>
      </c>
      <c r="B59" s="129" t="s">
        <v>270</v>
      </c>
      <c r="C59" s="131">
        <v>0</v>
      </c>
    </row>
    <row r="60" spans="1:3" hidden="1" x14ac:dyDescent="0.2">
      <c r="A60" s="130" t="s">
        <v>276</v>
      </c>
      <c r="B60" s="129" t="s">
        <v>274</v>
      </c>
      <c r="C60" s="131">
        <v>0</v>
      </c>
    </row>
    <row r="61" spans="1:3" hidden="1" x14ac:dyDescent="0.2">
      <c r="A61" s="130" t="s">
        <v>273</v>
      </c>
      <c r="B61" s="129" t="s">
        <v>266</v>
      </c>
      <c r="C61" s="131">
        <v>19045.45</v>
      </c>
    </row>
    <row r="62" spans="1:3" hidden="1" x14ac:dyDescent="0.2">
      <c r="A62" s="130" t="s">
        <v>273</v>
      </c>
      <c r="B62" s="129" t="s">
        <v>267</v>
      </c>
      <c r="C62" s="125">
        <f>0.84+17.67</f>
        <v>18.510000000000002</v>
      </c>
    </row>
    <row r="63" spans="1:3" hidden="1" x14ac:dyDescent="0.2">
      <c r="A63" s="130" t="s">
        <v>273</v>
      </c>
      <c r="B63" s="129" t="s">
        <v>268</v>
      </c>
      <c r="C63" s="125">
        <v>0</v>
      </c>
    </row>
    <row r="64" spans="1:3" hidden="1" x14ac:dyDescent="0.2">
      <c r="A64" s="130" t="s">
        <v>273</v>
      </c>
      <c r="B64" s="129" t="s">
        <v>269</v>
      </c>
      <c r="C64" s="125">
        <v>1368.74</v>
      </c>
    </row>
    <row r="65" spans="1:3" hidden="1" x14ac:dyDescent="0.2">
      <c r="A65" s="130" t="s">
        <v>273</v>
      </c>
      <c r="B65" s="129" t="s">
        <v>270</v>
      </c>
      <c r="C65" s="132">
        <v>0</v>
      </c>
    </row>
    <row r="66" spans="1:3" hidden="1" x14ac:dyDescent="0.2">
      <c r="A66" s="130" t="s">
        <v>273</v>
      </c>
      <c r="B66" s="129" t="s">
        <v>274</v>
      </c>
      <c r="C66" s="132"/>
    </row>
    <row r="67" spans="1:3" x14ac:dyDescent="0.2">
      <c r="A67" s="130" t="s">
        <v>279</v>
      </c>
      <c r="B67" s="129" t="s">
        <v>266</v>
      </c>
      <c r="C67" s="131">
        <v>19813.580000000002</v>
      </c>
    </row>
    <row r="68" spans="1:3" x14ac:dyDescent="0.2">
      <c r="A68" s="130" t="s">
        <v>279</v>
      </c>
      <c r="B68" s="129" t="s">
        <v>267</v>
      </c>
      <c r="C68" s="125">
        <f>1.69+17.67</f>
        <v>19.360000000000003</v>
      </c>
    </row>
    <row r="69" spans="1:3" x14ac:dyDescent="0.2">
      <c r="A69" s="130" t="s">
        <v>279</v>
      </c>
      <c r="B69" s="129" t="s">
        <v>268</v>
      </c>
      <c r="C69" s="125">
        <v>0</v>
      </c>
    </row>
    <row r="70" spans="1:3" x14ac:dyDescent="0.2">
      <c r="A70" s="130" t="s">
        <v>279</v>
      </c>
      <c r="B70" s="129" t="s">
        <v>269</v>
      </c>
      <c r="C70" s="125">
        <v>342.18</v>
      </c>
    </row>
    <row r="71" spans="1:3" x14ac:dyDescent="0.2">
      <c r="A71" s="130" t="s">
        <v>279</v>
      </c>
      <c r="B71" s="129" t="s">
        <v>270</v>
      </c>
      <c r="C71" s="132">
        <v>0</v>
      </c>
    </row>
    <row r="72" spans="1:3" x14ac:dyDescent="0.2">
      <c r="A72" s="130" t="s">
        <v>279</v>
      </c>
      <c r="B72" s="129" t="s">
        <v>274</v>
      </c>
      <c r="C72" s="132"/>
    </row>
    <row r="73" spans="1:3" hidden="1" x14ac:dyDescent="0.2">
      <c r="A73" s="133"/>
      <c r="B73" s="134"/>
      <c r="C73" s="151"/>
    </row>
    <row r="74" spans="1:3" hidden="1" x14ac:dyDescent="0.2">
      <c r="A74" s="133"/>
      <c r="B74" s="134"/>
      <c r="C74" s="151"/>
    </row>
    <row r="75" spans="1:3" hidden="1" x14ac:dyDescent="0.2">
      <c r="A75" s="133"/>
      <c r="B75" s="134"/>
      <c r="C75" s="151"/>
    </row>
    <row r="76" spans="1:3" hidden="1" x14ac:dyDescent="0.2">
      <c r="A76" s="133"/>
      <c r="B76" s="134"/>
      <c r="C76" s="151"/>
    </row>
    <row r="77" spans="1:3" hidden="1" x14ac:dyDescent="0.2">
      <c r="A77" s="133"/>
      <c r="B77" s="134"/>
      <c r="C77" s="151"/>
    </row>
    <row r="78" spans="1:3" x14ac:dyDescent="0.2">
      <c r="A78" s="133"/>
      <c r="B78" s="134"/>
      <c r="C78" s="110">
        <f>SUBTOTAL(109,Tabela4[VALOR])</f>
        <v>20175.120000000003</v>
      </c>
    </row>
  </sheetData>
  <mergeCells count="4">
    <mergeCell ref="A44:I44"/>
    <mergeCell ref="A33:I33"/>
    <mergeCell ref="A42:C42"/>
    <mergeCell ref="D42:E42"/>
  </mergeCells>
  <phoneticPr fontId="34" type="noConversion"/>
  <pageMargins left="0.31496062992125984" right="0.11811023622047245" top="0.59055118110236227" bottom="0.39370078740157483" header="0.31496062992125984" footer="0.31496062992125984"/>
  <pageSetup paperSize="9" orientation="landscape" horizontalDpi="0" verticalDpi="0" r:id="rId1"/>
  <drawing r:id="rId2"/>
  <tableParts count="4">
    <tablePart r:id="rId3"/>
    <tablePart r:id="rId4"/>
    <tablePart r:id="rId5"/>
    <tablePart r:id="rId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7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0:D40"/>
  <sheetViews>
    <sheetView topLeftCell="A16" workbookViewId="0">
      <selection sqref="A1:XFD1048576"/>
    </sheetView>
  </sheetViews>
  <sheetFormatPr defaultRowHeight="15" x14ac:dyDescent="0.25"/>
  <cols>
    <col min="1" max="1" width="10.7109375" bestFit="1" customWidth="1"/>
    <col min="2" max="2" width="69.42578125" customWidth="1"/>
    <col min="3" max="3" width="12.42578125" customWidth="1"/>
  </cols>
  <sheetData>
    <row r="10" spans="1:3" x14ac:dyDescent="0.25">
      <c r="A10" s="245" t="s">
        <v>283</v>
      </c>
      <c r="B10" s="245"/>
      <c r="C10" s="245"/>
    </row>
    <row r="13" spans="1:3" x14ac:dyDescent="0.25">
      <c r="A13" s="94" t="s">
        <v>3</v>
      </c>
      <c r="B13" s="96" t="s">
        <v>23</v>
      </c>
      <c r="C13" s="94" t="s">
        <v>211</v>
      </c>
    </row>
    <row r="14" spans="1:3" x14ac:dyDescent="0.25">
      <c r="A14" s="92">
        <v>44348</v>
      </c>
      <c r="B14" s="22" t="s">
        <v>284</v>
      </c>
      <c r="C14" s="93">
        <v>13752</v>
      </c>
    </row>
    <row r="15" spans="1:3" x14ac:dyDescent="0.25">
      <c r="A15" s="92">
        <v>44376</v>
      </c>
      <c r="B15" s="22" t="s">
        <v>285</v>
      </c>
      <c r="C15" s="93">
        <v>1513.41</v>
      </c>
    </row>
    <row r="16" spans="1:3" x14ac:dyDescent="0.25">
      <c r="A16" s="92">
        <v>44376</v>
      </c>
      <c r="B16" s="22" t="s">
        <v>286</v>
      </c>
      <c r="C16" s="93">
        <v>1942.15</v>
      </c>
    </row>
    <row r="17" spans="1:3" x14ac:dyDescent="0.25">
      <c r="A17" s="92">
        <v>44376</v>
      </c>
      <c r="B17" s="22" t="s">
        <v>287</v>
      </c>
      <c r="C17" s="93">
        <v>1724.69</v>
      </c>
    </row>
    <row r="18" spans="1:3" x14ac:dyDescent="0.25">
      <c r="A18" s="244" t="s">
        <v>47</v>
      </c>
      <c r="B18" s="244"/>
      <c r="C18" s="93">
        <f>SUM(C14:C17)</f>
        <v>18932.25</v>
      </c>
    </row>
    <row r="19" spans="1:3" x14ac:dyDescent="0.25">
      <c r="A19" s="94" t="s">
        <v>3</v>
      </c>
      <c r="B19" s="94" t="s">
        <v>24</v>
      </c>
      <c r="C19" s="94" t="s">
        <v>211</v>
      </c>
    </row>
    <row r="20" spans="1:3" x14ac:dyDescent="0.25">
      <c r="A20" s="92">
        <v>44373</v>
      </c>
      <c r="B20" s="22" t="s">
        <v>288</v>
      </c>
      <c r="C20" s="93">
        <v>113.2</v>
      </c>
    </row>
    <row r="21" spans="1:3" x14ac:dyDescent="0.25">
      <c r="A21" s="92"/>
      <c r="B21" s="22"/>
      <c r="C21" s="93"/>
    </row>
    <row r="22" spans="1:3" x14ac:dyDescent="0.25">
      <c r="A22" s="92">
        <v>44377</v>
      </c>
      <c r="B22" s="22" t="s">
        <v>210</v>
      </c>
      <c r="C22" s="93">
        <f>1.5+49+1.2+1.2+1.2+1.2</f>
        <v>55.300000000000011</v>
      </c>
    </row>
    <row r="23" spans="1:3" x14ac:dyDescent="0.25">
      <c r="A23" s="244" t="s">
        <v>47</v>
      </c>
      <c r="B23" s="244"/>
      <c r="C23" s="93">
        <f>SUM(C20:C22)</f>
        <v>168.5</v>
      </c>
    </row>
    <row r="24" spans="1:3" x14ac:dyDescent="0.25">
      <c r="A24" s="245" t="s">
        <v>212</v>
      </c>
      <c r="B24" s="245"/>
      <c r="C24" s="245"/>
    </row>
    <row r="25" spans="1:3" x14ac:dyDescent="0.25">
      <c r="A25" s="244" t="s">
        <v>23</v>
      </c>
      <c r="B25" s="244"/>
      <c r="C25" s="93">
        <f>C18</f>
        <v>18932.25</v>
      </c>
    </row>
    <row r="26" spans="1:3" x14ac:dyDescent="0.25">
      <c r="A26" s="244" t="s">
        <v>24</v>
      </c>
      <c r="B26" s="244"/>
      <c r="C26" s="93">
        <f>C23</f>
        <v>168.5</v>
      </c>
    </row>
    <row r="27" spans="1:3" x14ac:dyDescent="0.25">
      <c r="A27" s="244" t="s">
        <v>209</v>
      </c>
      <c r="B27" s="244"/>
      <c r="C27" s="93">
        <v>0</v>
      </c>
    </row>
    <row r="28" spans="1:3" x14ac:dyDescent="0.25">
      <c r="A28" s="244" t="s">
        <v>47</v>
      </c>
      <c r="B28" s="244"/>
      <c r="C28" s="93">
        <f>SUM(C25:C27)</f>
        <v>19100.75</v>
      </c>
    </row>
    <row r="29" spans="1:3" x14ac:dyDescent="0.25">
      <c r="A29" s="245" t="s">
        <v>49</v>
      </c>
      <c r="B29" s="245"/>
      <c r="C29" s="245"/>
    </row>
    <row r="30" spans="1:3" x14ac:dyDescent="0.25">
      <c r="A30" s="244" t="s">
        <v>213</v>
      </c>
      <c r="B30" s="244"/>
      <c r="C30" s="93">
        <f>'Con. Maio'!C39</f>
        <v>31909.640000000007</v>
      </c>
    </row>
    <row r="31" spans="1:3" x14ac:dyDescent="0.25">
      <c r="A31" s="244" t="s">
        <v>214</v>
      </c>
      <c r="B31" s="244"/>
      <c r="C31" s="93"/>
    </row>
    <row r="32" spans="1:3" x14ac:dyDescent="0.25">
      <c r="A32" s="244" t="s">
        <v>215</v>
      </c>
      <c r="B32" s="244"/>
      <c r="C32" s="93">
        <v>22800</v>
      </c>
    </row>
    <row r="33" spans="1:4" x14ac:dyDescent="0.25">
      <c r="A33" s="244" t="s">
        <v>209</v>
      </c>
      <c r="B33" s="244"/>
      <c r="C33" s="93"/>
    </row>
    <row r="34" spans="1:4" x14ac:dyDescent="0.25">
      <c r="A34" s="244" t="s">
        <v>47</v>
      </c>
      <c r="B34" s="244"/>
      <c r="C34" s="93">
        <f>SUM(C30:C33)</f>
        <v>54709.640000000007</v>
      </c>
    </row>
    <row r="39" spans="1:4" x14ac:dyDescent="0.25">
      <c r="A39" s="245" t="s">
        <v>216</v>
      </c>
      <c r="B39" s="245"/>
      <c r="C39" s="95">
        <f>C34-C28</f>
        <v>35608.890000000007</v>
      </c>
    </row>
    <row r="40" spans="1:4" x14ac:dyDescent="0.25">
      <c r="D40" s="97"/>
    </row>
  </sheetData>
  <mergeCells count="15">
    <mergeCell ref="A33:B33"/>
    <mergeCell ref="A34:B34"/>
    <mergeCell ref="A39:B39"/>
    <mergeCell ref="A27:B27"/>
    <mergeCell ref="A28:B28"/>
    <mergeCell ref="A29:C29"/>
    <mergeCell ref="A30:B30"/>
    <mergeCell ref="A31:B31"/>
    <mergeCell ref="A32:B32"/>
    <mergeCell ref="A26:B26"/>
    <mergeCell ref="A10:C10"/>
    <mergeCell ref="A18:B18"/>
    <mergeCell ref="A23:B23"/>
    <mergeCell ref="A24:C24"/>
    <mergeCell ref="A25:B25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0:D40"/>
  <sheetViews>
    <sheetView topLeftCell="A19" workbookViewId="0">
      <selection sqref="A1:XFD1048576"/>
    </sheetView>
  </sheetViews>
  <sheetFormatPr defaultRowHeight="15" x14ac:dyDescent="0.25"/>
  <cols>
    <col min="1" max="1" width="10.7109375" bestFit="1" customWidth="1"/>
    <col min="2" max="2" width="69.42578125" customWidth="1"/>
    <col min="3" max="3" width="12.42578125" customWidth="1"/>
  </cols>
  <sheetData>
    <row r="10" spans="1:3" x14ac:dyDescent="0.25">
      <c r="A10" s="245" t="s">
        <v>293</v>
      </c>
      <c r="B10" s="245"/>
      <c r="C10" s="245"/>
    </row>
    <row r="13" spans="1:3" x14ac:dyDescent="0.25">
      <c r="A13" s="94" t="s">
        <v>3</v>
      </c>
      <c r="B13" s="96" t="s">
        <v>23</v>
      </c>
      <c r="C13" s="94" t="s">
        <v>211</v>
      </c>
    </row>
    <row r="14" spans="1:3" x14ac:dyDescent="0.25">
      <c r="A14" s="92">
        <v>44378</v>
      </c>
      <c r="B14" s="22" t="s">
        <v>294</v>
      </c>
      <c r="C14" s="93">
        <v>14449</v>
      </c>
    </row>
    <row r="15" spans="1:3" x14ac:dyDescent="0.25">
      <c r="A15" s="92">
        <v>44384</v>
      </c>
      <c r="B15" s="22" t="s">
        <v>295</v>
      </c>
      <c r="C15" s="93">
        <v>1494.42</v>
      </c>
    </row>
    <row r="16" spans="1:3" x14ac:dyDescent="0.25">
      <c r="A16" s="92">
        <v>44397</v>
      </c>
      <c r="B16" s="22" t="s">
        <v>296</v>
      </c>
      <c r="C16" s="93">
        <v>1872.09</v>
      </c>
    </row>
    <row r="17" spans="1:3" x14ac:dyDescent="0.25">
      <c r="A17" s="92">
        <v>44397</v>
      </c>
      <c r="B17" s="22" t="s">
        <v>297</v>
      </c>
      <c r="C17" s="93">
        <v>1691.45</v>
      </c>
    </row>
    <row r="18" spans="1:3" x14ac:dyDescent="0.25">
      <c r="A18" s="244" t="s">
        <v>47</v>
      </c>
      <c r="B18" s="244"/>
      <c r="C18" s="93">
        <f>SUM(C14:C17)</f>
        <v>19506.96</v>
      </c>
    </row>
    <row r="19" spans="1:3" x14ac:dyDescent="0.25">
      <c r="A19" s="94" t="s">
        <v>3</v>
      </c>
      <c r="B19" s="94" t="s">
        <v>24</v>
      </c>
      <c r="C19" s="94" t="s">
        <v>211</v>
      </c>
    </row>
    <row r="20" spans="1:3" x14ac:dyDescent="0.25">
      <c r="A20" s="92">
        <v>44383</v>
      </c>
      <c r="B20" s="22" t="s">
        <v>299</v>
      </c>
      <c r="C20" s="93">
        <v>5099.8900000000003</v>
      </c>
    </row>
    <row r="21" spans="1:3" x14ac:dyDescent="0.25">
      <c r="A21" s="92">
        <v>44392</v>
      </c>
      <c r="B21" s="22" t="s">
        <v>298</v>
      </c>
      <c r="C21" s="93">
        <v>113.2</v>
      </c>
    </row>
    <row r="22" spans="1:3" x14ac:dyDescent="0.25">
      <c r="A22" s="92">
        <v>44408</v>
      </c>
      <c r="B22" s="22" t="s">
        <v>210</v>
      </c>
      <c r="C22" s="93">
        <f>1.5+1.2+1+1.2+1.2+1.2+49+6.63+4.05+2.81</f>
        <v>69.790000000000006</v>
      </c>
    </row>
    <row r="23" spans="1:3" x14ac:dyDescent="0.25">
      <c r="A23" s="244" t="s">
        <v>47</v>
      </c>
      <c r="B23" s="244"/>
      <c r="C23" s="93">
        <f>SUM(C20:C22)</f>
        <v>5282.88</v>
      </c>
    </row>
    <row r="24" spans="1:3" x14ac:dyDescent="0.25">
      <c r="A24" s="245" t="s">
        <v>212</v>
      </c>
      <c r="B24" s="245"/>
      <c r="C24" s="245"/>
    </row>
    <row r="25" spans="1:3" x14ac:dyDescent="0.25">
      <c r="A25" s="244" t="s">
        <v>23</v>
      </c>
      <c r="B25" s="244"/>
      <c r="C25" s="93">
        <f>C18</f>
        <v>19506.96</v>
      </c>
    </row>
    <row r="26" spans="1:3" x14ac:dyDescent="0.25">
      <c r="A26" s="244" t="s">
        <v>24</v>
      </c>
      <c r="B26" s="244"/>
      <c r="C26" s="93">
        <f>C23</f>
        <v>5282.88</v>
      </c>
    </row>
    <row r="27" spans="1:3" x14ac:dyDescent="0.25">
      <c r="A27" s="244" t="s">
        <v>209</v>
      </c>
      <c r="B27" s="244"/>
      <c r="C27" s="93">
        <v>0</v>
      </c>
    </row>
    <row r="28" spans="1:3" x14ac:dyDescent="0.25">
      <c r="A28" s="244" t="s">
        <v>47</v>
      </c>
      <c r="B28" s="244"/>
      <c r="C28" s="93">
        <f>SUM(C25:C27)</f>
        <v>24789.84</v>
      </c>
    </row>
    <row r="29" spans="1:3" x14ac:dyDescent="0.25">
      <c r="A29" s="245" t="s">
        <v>49</v>
      </c>
      <c r="B29" s="245"/>
      <c r="C29" s="245"/>
    </row>
    <row r="30" spans="1:3" x14ac:dyDescent="0.25">
      <c r="A30" s="244" t="s">
        <v>213</v>
      </c>
      <c r="B30" s="244"/>
      <c r="C30" s="93">
        <f>ConJunho!C39</f>
        <v>35608.890000000007</v>
      </c>
    </row>
    <row r="31" spans="1:3" x14ac:dyDescent="0.25">
      <c r="A31" s="244" t="s">
        <v>214</v>
      </c>
      <c r="B31" s="244"/>
      <c r="C31" s="93">
        <f>44.35+46.19</f>
        <v>90.539999999999992</v>
      </c>
    </row>
    <row r="32" spans="1:3" x14ac:dyDescent="0.25">
      <c r="A32" s="244" t="s">
        <v>215</v>
      </c>
      <c r="B32" s="244"/>
      <c r="C32" s="93">
        <v>22800</v>
      </c>
    </row>
    <row r="33" spans="1:4" x14ac:dyDescent="0.25">
      <c r="A33" s="244" t="s">
        <v>209</v>
      </c>
      <c r="B33" s="244"/>
      <c r="C33" s="93"/>
    </row>
    <row r="34" spans="1:4" x14ac:dyDescent="0.25">
      <c r="A34" s="244" t="s">
        <v>47</v>
      </c>
      <c r="B34" s="244"/>
      <c r="C34" s="93">
        <f>SUM(C30:C33)</f>
        <v>58499.430000000008</v>
      </c>
    </row>
    <row r="39" spans="1:4" x14ac:dyDescent="0.25">
      <c r="A39" s="245" t="s">
        <v>216</v>
      </c>
      <c r="B39" s="245"/>
      <c r="C39" s="95">
        <f>C34-C28</f>
        <v>33709.590000000011</v>
      </c>
    </row>
    <row r="40" spans="1:4" x14ac:dyDescent="0.25">
      <c r="D40" s="97"/>
    </row>
  </sheetData>
  <mergeCells count="15">
    <mergeCell ref="A33:B33"/>
    <mergeCell ref="A34:B34"/>
    <mergeCell ref="A39:B39"/>
    <mergeCell ref="A27:B27"/>
    <mergeCell ref="A28:B28"/>
    <mergeCell ref="A29:C29"/>
    <mergeCell ref="A30:B30"/>
    <mergeCell ref="A31:B31"/>
    <mergeCell ref="A32:B32"/>
    <mergeCell ref="A26:B26"/>
    <mergeCell ref="A10:C10"/>
    <mergeCell ref="A18:B18"/>
    <mergeCell ref="A23:B23"/>
    <mergeCell ref="A24:C24"/>
    <mergeCell ref="A25:B25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0:D39"/>
  <sheetViews>
    <sheetView topLeftCell="A19" workbookViewId="0">
      <selection activeCell="F43" sqref="F43"/>
    </sheetView>
  </sheetViews>
  <sheetFormatPr defaultRowHeight="15" x14ac:dyDescent="0.25"/>
  <cols>
    <col min="1" max="1" width="10.7109375" bestFit="1" customWidth="1"/>
    <col min="2" max="2" width="69.42578125" customWidth="1"/>
    <col min="3" max="3" width="12.42578125" customWidth="1"/>
  </cols>
  <sheetData>
    <row r="10" spans="1:3" x14ac:dyDescent="0.25">
      <c r="A10" s="245" t="s">
        <v>302</v>
      </c>
      <c r="B10" s="245"/>
      <c r="C10" s="245"/>
    </row>
    <row r="13" spans="1:3" x14ac:dyDescent="0.25">
      <c r="A13" s="94" t="s">
        <v>3</v>
      </c>
      <c r="B13" s="96" t="s">
        <v>23</v>
      </c>
      <c r="C13" s="94" t="s">
        <v>211</v>
      </c>
    </row>
    <row r="14" spans="1:3" x14ac:dyDescent="0.25">
      <c r="A14" s="92">
        <v>44409</v>
      </c>
      <c r="B14" s="22" t="s">
        <v>303</v>
      </c>
      <c r="C14" s="93">
        <v>12047</v>
      </c>
    </row>
    <row r="15" spans="1:3" x14ac:dyDescent="0.25">
      <c r="A15" s="92">
        <v>44414</v>
      </c>
      <c r="B15" s="22" t="s">
        <v>304</v>
      </c>
      <c r="C15" s="93">
        <v>1645.22</v>
      </c>
    </row>
    <row r="16" spans="1:3" x14ac:dyDescent="0.25">
      <c r="A16" s="92">
        <v>44428</v>
      </c>
      <c r="B16" s="22" t="s">
        <v>305</v>
      </c>
      <c r="C16" s="93">
        <v>1494.39</v>
      </c>
    </row>
    <row r="17" spans="1:4" x14ac:dyDescent="0.25">
      <c r="A17" s="92">
        <v>44428</v>
      </c>
      <c r="B17" s="22" t="s">
        <v>306</v>
      </c>
      <c r="C17" s="93">
        <v>1793.69</v>
      </c>
    </row>
    <row r="18" spans="1:4" x14ac:dyDescent="0.25">
      <c r="A18" s="244" t="s">
        <v>47</v>
      </c>
      <c r="B18" s="244"/>
      <c r="C18" s="93">
        <f>SUM(C14:C17)</f>
        <v>16980.3</v>
      </c>
    </row>
    <row r="19" spans="1:4" x14ac:dyDescent="0.25">
      <c r="A19" s="94" t="s">
        <v>3</v>
      </c>
      <c r="B19" s="94" t="s">
        <v>24</v>
      </c>
      <c r="C19" s="94" t="s">
        <v>211</v>
      </c>
    </row>
    <row r="20" spans="1:4" x14ac:dyDescent="0.25">
      <c r="A20" s="92">
        <v>44424</v>
      </c>
      <c r="B20" s="22" t="s">
        <v>310</v>
      </c>
      <c r="C20" s="93">
        <v>113.2</v>
      </c>
      <c r="D20" s="97">
        <f>C20</f>
        <v>113.2</v>
      </c>
    </row>
    <row r="21" spans="1:4" x14ac:dyDescent="0.25">
      <c r="A21" s="92">
        <v>44439</v>
      </c>
      <c r="B21" s="22" t="s">
        <v>210</v>
      </c>
      <c r="C21" s="93">
        <v>84.23</v>
      </c>
    </row>
    <row r="22" spans="1:4" x14ac:dyDescent="0.25">
      <c r="A22" s="244" t="s">
        <v>47</v>
      </c>
      <c r="B22" s="244"/>
      <c r="C22" s="93">
        <f>SUM(C20:C21)</f>
        <v>197.43</v>
      </c>
    </row>
    <row r="23" spans="1:4" x14ac:dyDescent="0.25">
      <c r="A23" s="245" t="s">
        <v>212</v>
      </c>
      <c r="B23" s="245"/>
      <c r="C23" s="245"/>
    </row>
    <row r="24" spans="1:4" x14ac:dyDescent="0.25">
      <c r="A24" s="244" t="s">
        <v>23</v>
      </c>
      <c r="B24" s="244"/>
      <c r="C24" s="93">
        <f>C18</f>
        <v>16980.3</v>
      </c>
    </row>
    <row r="25" spans="1:4" x14ac:dyDescent="0.25">
      <c r="A25" s="244" t="s">
        <v>24</v>
      </c>
      <c r="B25" s="244"/>
      <c r="C25" s="93">
        <f>C22</f>
        <v>197.43</v>
      </c>
    </row>
    <row r="26" spans="1:4" x14ac:dyDescent="0.25">
      <c r="A26" s="244" t="s">
        <v>209</v>
      </c>
      <c r="B26" s="244"/>
      <c r="C26" s="93">
        <v>0</v>
      </c>
    </row>
    <row r="27" spans="1:4" x14ac:dyDescent="0.25">
      <c r="A27" s="244" t="s">
        <v>47</v>
      </c>
      <c r="B27" s="244"/>
      <c r="C27" s="93">
        <f>SUM(C24:C26)</f>
        <v>17177.73</v>
      </c>
    </row>
    <row r="28" spans="1:4" x14ac:dyDescent="0.25">
      <c r="A28" s="245" t="s">
        <v>49</v>
      </c>
      <c r="B28" s="245"/>
      <c r="C28" s="245"/>
    </row>
    <row r="29" spans="1:4" x14ac:dyDescent="0.25">
      <c r="A29" s="244" t="s">
        <v>213</v>
      </c>
      <c r="B29" s="244"/>
      <c r="C29" s="93">
        <f>ConJulho!C39</f>
        <v>33709.590000000011</v>
      </c>
    </row>
    <row r="30" spans="1:4" x14ac:dyDescent="0.25">
      <c r="A30" s="244" t="s">
        <v>214</v>
      </c>
      <c r="B30" s="244"/>
      <c r="C30" s="93">
        <v>90.36</v>
      </c>
    </row>
    <row r="31" spans="1:4" x14ac:dyDescent="0.25">
      <c r="A31" s="244" t="s">
        <v>215</v>
      </c>
      <c r="B31" s="244"/>
      <c r="C31" s="93">
        <v>16640</v>
      </c>
    </row>
    <row r="32" spans="1:4" x14ac:dyDescent="0.25">
      <c r="A32" s="244" t="s">
        <v>209</v>
      </c>
      <c r="B32" s="244"/>
      <c r="C32" s="93"/>
    </row>
    <row r="33" spans="1:4" x14ac:dyDescent="0.25">
      <c r="A33" s="244" t="s">
        <v>47</v>
      </c>
      <c r="B33" s="244"/>
      <c r="C33" s="93">
        <f>SUM(C29:C32)</f>
        <v>50439.950000000012</v>
      </c>
    </row>
    <row r="38" spans="1:4" x14ac:dyDescent="0.25">
      <c r="A38" s="245" t="s">
        <v>216</v>
      </c>
      <c r="B38" s="245"/>
      <c r="C38" s="95">
        <f>C33-C27</f>
        <v>33262.220000000016</v>
      </c>
      <c r="D38" s="165">
        <f>C38-33260.22</f>
        <v>2.0000000000145519</v>
      </c>
    </row>
    <row r="39" spans="1:4" x14ac:dyDescent="0.25">
      <c r="D39" s="97"/>
    </row>
  </sheetData>
  <mergeCells count="15">
    <mergeCell ref="A25:B25"/>
    <mergeCell ref="A10:C10"/>
    <mergeCell ref="A18:B18"/>
    <mergeCell ref="A22:B22"/>
    <mergeCell ref="A23:C23"/>
    <mergeCell ref="A24:B24"/>
    <mergeCell ref="A32:B32"/>
    <mergeCell ref="A33:B33"/>
    <mergeCell ref="A38:B38"/>
    <mergeCell ref="A26:B26"/>
    <mergeCell ref="A27:B27"/>
    <mergeCell ref="A28:C28"/>
    <mergeCell ref="A29:B29"/>
    <mergeCell ref="A30:B30"/>
    <mergeCell ref="A31:B31"/>
  </mergeCells>
  <pageMargins left="0.51181102362204722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0:D41"/>
  <sheetViews>
    <sheetView topLeftCell="A22" workbookViewId="0">
      <selection activeCell="E40" sqref="E40"/>
    </sheetView>
  </sheetViews>
  <sheetFormatPr defaultRowHeight="15" x14ac:dyDescent="0.25"/>
  <cols>
    <col min="1" max="1" width="10.7109375" bestFit="1" customWidth="1"/>
    <col min="2" max="2" width="69.42578125" customWidth="1"/>
    <col min="3" max="3" width="12.42578125" customWidth="1"/>
    <col min="4" max="4" width="9.85546875" bestFit="1" customWidth="1"/>
  </cols>
  <sheetData>
    <row r="10" spans="1:3" x14ac:dyDescent="0.25">
      <c r="A10" s="245" t="s">
        <v>315</v>
      </c>
      <c r="B10" s="245"/>
      <c r="C10" s="245"/>
    </row>
    <row r="13" spans="1:3" x14ac:dyDescent="0.25">
      <c r="A13" s="94" t="s">
        <v>3</v>
      </c>
      <c r="B13" s="96" t="s">
        <v>23</v>
      </c>
      <c r="C13" s="94" t="s">
        <v>211</v>
      </c>
    </row>
    <row r="14" spans="1:3" x14ac:dyDescent="0.25">
      <c r="A14" s="92">
        <v>44440</v>
      </c>
      <c r="B14" s="22" t="s">
        <v>316</v>
      </c>
      <c r="C14" s="93">
        <v>15236</v>
      </c>
    </row>
    <row r="15" spans="1:3" x14ac:dyDescent="0.25">
      <c r="A15" s="92">
        <v>44453</v>
      </c>
      <c r="B15" s="22" t="s">
        <v>317</v>
      </c>
      <c r="C15" s="93">
        <v>1553</v>
      </c>
    </row>
    <row r="16" spans="1:3" x14ac:dyDescent="0.25">
      <c r="A16" s="92">
        <v>44459</v>
      </c>
      <c r="B16" s="22" t="s">
        <v>318</v>
      </c>
      <c r="C16" s="93">
        <v>2312.1799999999998</v>
      </c>
    </row>
    <row r="17" spans="1:4" x14ac:dyDescent="0.25">
      <c r="A17" s="92">
        <v>44459</v>
      </c>
      <c r="B17" s="22" t="s">
        <v>319</v>
      </c>
      <c r="C17" s="93">
        <v>1733.91</v>
      </c>
    </row>
    <row r="18" spans="1:4" x14ac:dyDescent="0.25">
      <c r="A18" s="244" t="s">
        <v>47</v>
      </c>
      <c r="B18" s="244"/>
      <c r="C18" s="93">
        <f>SUM(C14:C17)</f>
        <v>20835.09</v>
      </c>
    </row>
    <row r="19" spans="1:4" x14ac:dyDescent="0.25">
      <c r="A19" s="94" t="s">
        <v>3</v>
      </c>
      <c r="B19" s="94" t="s">
        <v>24</v>
      </c>
      <c r="C19" s="94" t="s">
        <v>211</v>
      </c>
    </row>
    <row r="20" spans="1:4" x14ac:dyDescent="0.25">
      <c r="A20" s="92">
        <v>44453</v>
      </c>
      <c r="B20" s="22" t="s">
        <v>322</v>
      </c>
      <c r="C20" s="93">
        <v>113.2</v>
      </c>
      <c r="D20" s="97">
        <f>SUM(C20:C22)</f>
        <v>15377.92</v>
      </c>
    </row>
    <row r="21" spans="1:4" x14ac:dyDescent="0.25">
      <c r="A21" s="92">
        <v>44466</v>
      </c>
      <c r="B21" s="22" t="s">
        <v>321</v>
      </c>
      <c r="C21" s="93">
        <v>27.72</v>
      </c>
      <c r="D21" s="97"/>
    </row>
    <row r="22" spans="1:4" x14ac:dyDescent="0.25">
      <c r="A22" s="92">
        <v>44453</v>
      </c>
      <c r="B22" s="22" t="s">
        <v>320</v>
      </c>
      <c r="C22" s="93">
        <v>15237</v>
      </c>
      <c r="D22" s="97"/>
    </row>
    <row r="23" spans="1:4" x14ac:dyDescent="0.25">
      <c r="A23" s="92">
        <v>44469</v>
      </c>
      <c r="B23" s="22" t="s">
        <v>210</v>
      </c>
      <c r="C23" s="93">
        <v>80.95</v>
      </c>
    </row>
    <row r="24" spans="1:4" x14ac:dyDescent="0.25">
      <c r="A24" s="244" t="s">
        <v>47</v>
      </c>
      <c r="B24" s="244"/>
      <c r="C24" s="93">
        <f>SUM(C20:C23)</f>
        <v>15458.87</v>
      </c>
    </row>
    <row r="25" spans="1:4" x14ac:dyDescent="0.25">
      <c r="A25" s="245" t="s">
        <v>212</v>
      </c>
      <c r="B25" s="245"/>
      <c r="C25" s="245"/>
    </row>
    <row r="26" spans="1:4" x14ac:dyDescent="0.25">
      <c r="A26" s="244" t="s">
        <v>23</v>
      </c>
      <c r="B26" s="244"/>
      <c r="C26" s="93">
        <f>C18</f>
        <v>20835.09</v>
      </c>
    </row>
    <row r="27" spans="1:4" x14ac:dyDescent="0.25">
      <c r="A27" s="244" t="s">
        <v>24</v>
      </c>
      <c r="B27" s="244"/>
      <c r="C27" s="93">
        <f>C24</f>
        <v>15458.87</v>
      </c>
    </row>
    <row r="28" spans="1:4" x14ac:dyDescent="0.25">
      <c r="A28" s="244" t="s">
        <v>209</v>
      </c>
      <c r="B28" s="244"/>
      <c r="C28" s="93">
        <v>0</v>
      </c>
    </row>
    <row r="29" spans="1:4" x14ac:dyDescent="0.25">
      <c r="A29" s="244" t="s">
        <v>47</v>
      </c>
      <c r="B29" s="244"/>
      <c r="C29" s="93">
        <f>SUM(C26:C28)</f>
        <v>36293.96</v>
      </c>
    </row>
    <row r="30" spans="1:4" x14ac:dyDescent="0.25">
      <c r="A30" s="245" t="s">
        <v>49</v>
      </c>
      <c r="B30" s="245"/>
      <c r="C30" s="245"/>
    </row>
    <row r="31" spans="1:4" x14ac:dyDescent="0.25">
      <c r="A31" s="244" t="s">
        <v>213</v>
      </c>
      <c r="B31" s="244"/>
      <c r="C31" s="93">
        <f>ConAgosto!C38</f>
        <v>33262.220000000016</v>
      </c>
    </row>
    <row r="32" spans="1:4" x14ac:dyDescent="0.25">
      <c r="A32" s="244" t="s">
        <v>214</v>
      </c>
      <c r="B32" s="244"/>
      <c r="C32" s="93">
        <v>63.94</v>
      </c>
    </row>
    <row r="33" spans="1:4" x14ac:dyDescent="0.25">
      <c r="A33" s="244" t="s">
        <v>215</v>
      </c>
      <c r="B33" s="244"/>
      <c r="C33" s="93">
        <v>16640</v>
      </c>
    </row>
    <row r="34" spans="1:4" x14ac:dyDescent="0.25">
      <c r="A34" s="244" t="s">
        <v>209</v>
      </c>
      <c r="B34" s="244"/>
      <c r="C34" s="93"/>
    </row>
    <row r="35" spans="1:4" x14ac:dyDescent="0.25">
      <c r="A35" s="244" t="s">
        <v>47</v>
      </c>
      <c r="B35" s="244"/>
      <c r="C35" s="93">
        <f>SUM(C31:C34)</f>
        <v>49966.160000000018</v>
      </c>
    </row>
    <row r="40" spans="1:4" x14ac:dyDescent="0.25">
      <c r="A40" s="245" t="s">
        <v>216</v>
      </c>
      <c r="B40" s="245"/>
      <c r="C40" s="95">
        <f>C35-C29</f>
        <v>13672.200000000019</v>
      </c>
      <c r="D40" s="165">
        <f>C40-13670.2</f>
        <v>2.0000000000181899</v>
      </c>
    </row>
    <row r="41" spans="1:4" x14ac:dyDescent="0.25">
      <c r="D41" s="97"/>
    </row>
  </sheetData>
  <mergeCells count="15">
    <mergeCell ref="A27:B27"/>
    <mergeCell ref="A10:C10"/>
    <mergeCell ref="A18:B18"/>
    <mergeCell ref="A24:B24"/>
    <mergeCell ref="A25:C25"/>
    <mergeCell ref="A26:B26"/>
    <mergeCell ref="A34:B34"/>
    <mergeCell ref="A35:B35"/>
    <mergeCell ref="A40:B40"/>
    <mergeCell ref="A28:B28"/>
    <mergeCell ref="A29:B29"/>
    <mergeCell ref="A30:C30"/>
    <mergeCell ref="A31:B31"/>
    <mergeCell ref="A32:B32"/>
    <mergeCell ref="A33:B33"/>
  </mergeCells>
  <pageMargins left="0.51181102362204722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9:I108"/>
  <sheetViews>
    <sheetView workbookViewId="0">
      <selection activeCell="H114" sqref="H114"/>
    </sheetView>
  </sheetViews>
  <sheetFormatPr defaultColWidth="9.140625" defaultRowHeight="12.75" x14ac:dyDescent="0.2"/>
  <cols>
    <col min="1" max="1" width="18.85546875" style="98" bestFit="1" customWidth="1"/>
    <col min="2" max="2" width="24.140625" style="98" bestFit="1" customWidth="1"/>
    <col min="3" max="3" width="11.42578125" style="98" bestFit="1" customWidth="1"/>
    <col min="4" max="4" width="10.7109375" style="98" bestFit="1" customWidth="1"/>
    <col min="5" max="5" width="12.140625" style="98" customWidth="1"/>
    <col min="6" max="6" width="19.140625" style="98" customWidth="1"/>
    <col min="7" max="7" width="13" style="98" bestFit="1" customWidth="1"/>
    <col min="8" max="8" width="14.85546875" style="98" bestFit="1" customWidth="1"/>
    <col min="9" max="9" width="8.85546875" style="98" bestFit="1" customWidth="1"/>
    <col min="10" max="16384" width="9.140625" style="98"/>
  </cols>
  <sheetData>
    <row r="9" spans="1:9" ht="17.25" x14ac:dyDescent="0.2">
      <c r="A9" s="252" t="s">
        <v>314</v>
      </c>
      <c r="B9" s="252"/>
      <c r="C9" s="252"/>
      <c r="D9" s="252"/>
      <c r="E9" s="252"/>
      <c r="F9" s="252"/>
      <c r="G9" s="252"/>
      <c r="H9" s="252"/>
      <c r="I9" s="252"/>
    </row>
    <row r="10" spans="1:9" ht="19.5" x14ac:dyDescent="0.2">
      <c r="A10" s="253" t="s">
        <v>282</v>
      </c>
      <c r="B10" s="253"/>
      <c r="C10" s="253"/>
      <c r="D10" s="253"/>
      <c r="E10" s="253"/>
      <c r="F10" s="253"/>
      <c r="G10" s="253"/>
      <c r="H10" s="253"/>
      <c r="I10" s="253"/>
    </row>
    <row r="11" spans="1:9" x14ac:dyDescent="0.2">
      <c r="A11" s="99" t="s">
        <v>245</v>
      </c>
      <c r="B11" s="100" t="s">
        <v>246</v>
      </c>
      <c r="C11" s="100" t="s">
        <v>247</v>
      </c>
      <c r="D11" s="135" t="s">
        <v>275</v>
      </c>
    </row>
    <row r="12" spans="1:9" hidden="1" x14ac:dyDescent="0.2">
      <c r="A12" s="102" t="s">
        <v>249</v>
      </c>
      <c r="B12" s="103" t="s">
        <v>250</v>
      </c>
      <c r="C12" s="103">
        <v>7458</v>
      </c>
      <c r="D12" s="142" t="s">
        <v>251</v>
      </c>
    </row>
    <row r="13" spans="1:9" hidden="1" x14ac:dyDescent="0.2">
      <c r="A13" s="102" t="s">
        <v>249</v>
      </c>
      <c r="B13" s="103" t="s">
        <v>252</v>
      </c>
      <c r="C13" s="103">
        <v>3565</v>
      </c>
      <c r="D13" s="142" t="s">
        <v>251</v>
      </c>
    </row>
    <row r="14" spans="1:9" hidden="1" x14ac:dyDescent="0.2">
      <c r="A14" s="102" t="s">
        <v>249</v>
      </c>
      <c r="B14" s="103" t="s">
        <v>253</v>
      </c>
      <c r="C14" s="103">
        <v>3652</v>
      </c>
      <c r="D14" s="142" t="s">
        <v>251</v>
      </c>
    </row>
    <row r="15" spans="1:9" hidden="1" x14ac:dyDescent="0.2">
      <c r="A15" s="102" t="s">
        <v>249</v>
      </c>
      <c r="B15" s="103" t="s">
        <v>250</v>
      </c>
      <c r="C15" s="103">
        <v>7432</v>
      </c>
      <c r="D15" s="142" t="s">
        <v>254</v>
      </c>
    </row>
    <row r="16" spans="1:9" hidden="1" x14ac:dyDescent="0.2">
      <c r="A16" s="102" t="s">
        <v>249</v>
      </c>
      <c r="B16" s="103" t="s">
        <v>252</v>
      </c>
      <c r="C16" s="103">
        <v>3567</v>
      </c>
      <c r="D16" s="142" t="s">
        <v>254</v>
      </c>
    </row>
    <row r="17" spans="1:4" hidden="1" x14ac:dyDescent="0.2">
      <c r="A17" s="102" t="s">
        <v>249</v>
      </c>
      <c r="B17" s="103" t="s">
        <v>253</v>
      </c>
      <c r="C17" s="103">
        <v>3652</v>
      </c>
      <c r="D17" s="142" t="s">
        <v>254</v>
      </c>
    </row>
    <row r="18" spans="1:4" hidden="1" x14ac:dyDescent="0.2">
      <c r="A18" s="102" t="s">
        <v>249</v>
      </c>
      <c r="B18" s="103" t="s">
        <v>250</v>
      </c>
      <c r="C18" s="103">
        <v>7458</v>
      </c>
      <c r="D18" s="142" t="s">
        <v>255</v>
      </c>
    </row>
    <row r="19" spans="1:4" hidden="1" x14ac:dyDescent="0.2">
      <c r="A19" s="102" t="s">
        <v>249</v>
      </c>
      <c r="B19" s="103" t="s">
        <v>252</v>
      </c>
      <c r="C19" s="103">
        <v>3567</v>
      </c>
      <c r="D19" s="142" t="s">
        <v>255</v>
      </c>
    </row>
    <row r="20" spans="1:4" hidden="1" x14ac:dyDescent="0.2">
      <c r="A20" s="102" t="s">
        <v>249</v>
      </c>
      <c r="B20" s="103" t="s">
        <v>253</v>
      </c>
      <c r="C20" s="103">
        <v>3652</v>
      </c>
      <c r="D20" s="142" t="s">
        <v>255</v>
      </c>
    </row>
    <row r="21" spans="1:4" hidden="1" x14ac:dyDescent="0.2">
      <c r="A21" s="102" t="s">
        <v>249</v>
      </c>
      <c r="B21" s="103" t="s">
        <v>250</v>
      </c>
      <c r="C21" s="103">
        <v>7456</v>
      </c>
      <c r="D21" s="142" t="s">
        <v>256</v>
      </c>
    </row>
    <row r="22" spans="1:4" hidden="1" x14ac:dyDescent="0.2">
      <c r="A22" s="102" t="s">
        <v>249</v>
      </c>
      <c r="B22" s="103" t="s">
        <v>252</v>
      </c>
      <c r="C22" s="103">
        <v>3564</v>
      </c>
      <c r="D22" s="142" t="s">
        <v>256</v>
      </c>
    </row>
    <row r="23" spans="1:4" hidden="1" x14ac:dyDescent="0.2">
      <c r="A23" s="102" t="s">
        <v>249</v>
      </c>
      <c r="B23" s="103" t="s">
        <v>253</v>
      </c>
      <c r="C23" s="103">
        <v>3649</v>
      </c>
      <c r="D23" s="142" t="s">
        <v>256</v>
      </c>
    </row>
    <row r="24" spans="1:4" hidden="1" x14ac:dyDescent="0.2">
      <c r="A24" s="102" t="s">
        <v>249</v>
      </c>
      <c r="B24" s="103" t="s">
        <v>250</v>
      </c>
      <c r="C24" s="103">
        <v>7456</v>
      </c>
      <c r="D24" s="143" t="s">
        <v>273</v>
      </c>
    </row>
    <row r="25" spans="1:4" hidden="1" x14ac:dyDescent="0.2">
      <c r="A25" s="102" t="s">
        <v>249</v>
      </c>
      <c r="B25" s="103" t="s">
        <v>252</v>
      </c>
      <c r="C25" s="103">
        <v>2646</v>
      </c>
      <c r="D25" s="143" t="s">
        <v>273</v>
      </c>
    </row>
    <row r="26" spans="1:4" hidden="1" x14ac:dyDescent="0.2">
      <c r="A26" s="102" t="s">
        <v>249</v>
      </c>
      <c r="B26" s="103" t="s">
        <v>253</v>
      </c>
      <c r="C26" s="103">
        <v>3650</v>
      </c>
      <c r="D26" s="144" t="s">
        <v>273</v>
      </c>
    </row>
    <row r="27" spans="1:4" hidden="1" x14ac:dyDescent="0.2">
      <c r="A27" s="102" t="s">
        <v>249</v>
      </c>
      <c r="B27" s="103" t="s">
        <v>250</v>
      </c>
      <c r="C27" s="103">
        <v>7456</v>
      </c>
      <c r="D27" s="148" t="s">
        <v>279</v>
      </c>
    </row>
    <row r="28" spans="1:4" hidden="1" x14ac:dyDescent="0.2">
      <c r="A28" s="102" t="s">
        <v>249</v>
      </c>
      <c r="B28" s="103" t="s">
        <v>252</v>
      </c>
      <c r="C28" s="103">
        <v>3344</v>
      </c>
      <c r="D28" s="148" t="s">
        <v>279</v>
      </c>
    </row>
    <row r="29" spans="1:4" hidden="1" x14ac:dyDescent="0.2">
      <c r="A29" s="102" t="s">
        <v>249</v>
      </c>
      <c r="B29" s="103" t="s">
        <v>253</v>
      </c>
      <c r="C29" s="103">
        <v>3650</v>
      </c>
      <c r="D29" s="149" t="s">
        <v>279</v>
      </c>
    </row>
    <row r="30" spans="1:4" hidden="1" x14ac:dyDescent="0.2">
      <c r="A30" s="162" t="s">
        <v>249</v>
      </c>
      <c r="B30" s="163" t="s">
        <v>250</v>
      </c>
      <c r="C30" s="163">
        <v>5705</v>
      </c>
      <c r="D30" s="149" t="s">
        <v>292</v>
      </c>
    </row>
    <row r="31" spans="1:4" hidden="1" x14ac:dyDescent="0.2">
      <c r="A31" s="162" t="s">
        <v>249</v>
      </c>
      <c r="B31" s="163" t="s">
        <v>252</v>
      </c>
      <c r="C31" s="163">
        <v>3693</v>
      </c>
      <c r="D31" s="149" t="s">
        <v>292</v>
      </c>
    </row>
    <row r="32" spans="1:4" hidden="1" x14ac:dyDescent="0.2">
      <c r="A32" s="162" t="s">
        <v>249</v>
      </c>
      <c r="B32" s="163" t="s">
        <v>253</v>
      </c>
      <c r="C32" s="163">
        <v>2649</v>
      </c>
      <c r="D32" s="149" t="s">
        <v>292</v>
      </c>
    </row>
    <row r="33" spans="1:9" hidden="1" x14ac:dyDescent="0.2">
      <c r="A33" s="162" t="s">
        <v>249</v>
      </c>
      <c r="B33" s="163" t="s">
        <v>250</v>
      </c>
      <c r="C33" s="163">
        <v>7767</v>
      </c>
      <c r="D33" s="149" t="s">
        <v>301</v>
      </c>
    </row>
    <row r="34" spans="1:9" hidden="1" x14ac:dyDescent="0.2">
      <c r="A34" s="162" t="s">
        <v>249</v>
      </c>
      <c r="B34" s="163" t="s">
        <v>252</v>
      </c>
      <c r="C34" s="163">
        <v>3692</v>
      </c>
      <c r="D34" s="149" t="s">
        <v>301</v>
      </c>
    </row>
    <row r="35" spans="1:9" hidden="1" x14ac:dyDescent="0.2">
      <c r="A35" s="162" t="s">
        <v>249</v>
      </c>
      <c r="B35" s="163" t="s">
        <v>253</v>
      </c>
      <c r="C35" s="163">
        <v>3777</v>
      </c>
      <c r="D35" s="149" t="s">
        <v>301</v>
      </c>
    </row>
    <row r="36" spans="1:9" x14ac:dyDescent="0.2">
      <c r="A36" s="162" t="s">
        <v>249</v>
      </c>
      <c r="B36" s="163" t="s">
        <v>250</v>
      </c>
      <c r="C36" s="163">
        <v>7740</v>
      </c>
      <c r="D36" s="149" t="s">
        <v>313</v>
      </c>
    </row>
    <row r="37" spans="1:9" x14ac:dyDescent="0.2">
      <c r="A37" s="162" t="s">
        <v>249</v>
      </c>
      <c r="B37" s="163" t="s">
        <v>252</v>
      </c>
      <c r="C37" s="163">
        <v>3721</v>
      </c>
      <c r="D37" s="149" t="s">
        <v>313</v>
      </c>
    </row>
    <row r="38" spans="1:9" x14ac:dyDescent="0.2">
      <c r="A38" s="162" t="s">
        <v>249</v>
      </c>
      <c r="B38" s="163" t="s">
        <v>253</v>
      </c>
      <c r="C38" s="163">
        <v>3776</v>
      </c>
      <c r="D38" s="149" t="s">
        <v>313</v>
      </c>
    </row>
    <row r="39" spans="1:9" x14ac:dyDescent="0.2">
      <c r="A39" s="105"/>
      <c r="B39" s="106"/>
      <c r="C39" s="107">
        <f>SUBTOTAL(109,Tabela1336[Liquido])</f>
        <v>15237</v>
      </c>
      <c r="D39" s="106"/>
    </row>
    <row r="40" spans="1:9" x14ac:dyDescent="0.2">
      <c r="C40" s="110"/>
      <c r="D40" s="110"/>
      <c r="E40" s="110"/>
      <c r="F40" s="109"/>
      <c r="G40" s="109"/>
    </row>
    <row r="41" spans="1:9" x14ac:dyDescent="0.2">
      <c r="A41" s="249" t="s">
        <v>258</v>
      </c>
      <c r="B41" s="249"/>
      <c r="C41" s="249"/>
      <c r="D41" s="249"/>
      <c r="E41" s="249"/>
      <c r="F41" s="249"/>
      <c r="G41" s="249"/>
      <c r="H41" s="249"/>
      <c r="I41" s="249"/>
    </row>
    <row r="42" spans="1:9" x14ac:dyDescent="0.2">
      <c r="A42" s="111" t="s">
        <v>259</v>
      </c>
      <c r="B42" s="112" t="s">
        <v>260</v>
      </c>
      <c r="C42" s="112" t="s">
        <v>59</v>
      </c>
      <c r="D42" s="112" t="s">
        <v>65</v>
      </c>
      <c r="E42" s="112" t="s">
        <v>66</v>
      </c>
      <c r="F42" s="112" t="s">
        <v>261</v>
      </c>
      <c r="G42" s="112" t="s">
        <v>262</v>
      </c>
      <c r="H42" s="112" t="s">
        <v>263</v>
      </c>
      <c r="I42" s="113" t="s">
        <v>248</v>
      </c>
    </row>
    <row r="43" spans="1:9" hidden="1" x14ac:dyDescent="0.2">
      <c r="A43" s="130" t="s">
        <v>249</v>
      </c>
      <c r="B43" s="114">
        <v>14675</v>
      </c>
      <c r="C43" s="114">
        <v>1488.09</v>
      </c>
      <c r="D43" s="114">
        <v>1680.37</v>
      </c>
      <c r="E43" s="115">
        <v>2120.19</v>
      </c>
      <c r="F43" s="114">
        <v>113.2</v>
      </c>
      <c r="G43" s="114">
        <v>0</v>
      </c>
      <c r="H43" s="114">
        <v>0</v>
      </c>
      <c r="I43" s="116" t="s">
        <v>251</v>
      </c>
    </row>
    <row r="44" spans="1:9" hidden="1" x14ac:dyDescent="0.2">
      <c r="A44" s="130" t="s">
        <v>249</v>
      </c>
      <c r="B44" s="114">
        <v>14651</v>
      </c>
      <c r="C44" s="114">
        <v>1488.09</v>
      </c>
      <c r="D44" s="114">
        <v>1680.37</v>
      </c>
      <c r="E44" s="115">
        <v>2120.19</v>
      </c>
      <c r="F44" s="114">
        <v>113.2</v>
      </c>
      <c r="G44" s="114">
        <v>0</v>
      </c>
      <c r="H44" s="114">
        <v>26.16</v>
      </c>
      <c r="I44" s="116" t="s">
        <v>254</v>
      </c>
    </row>
    <row r="45" spans="1:9" hidden="1" x14ac:dyDescent="0.2">
      <c r="A45" s="130" t="s">
        <v>249</v>
      </c>
      <c r="B45" s="114">
        <v>14677</v>
      </c>
      <c r="C45" s="114">
        <v>1488.09</v>
      </c>
      <c r="D45" s="114">
        <v>1680.37</v>
      </c>
      <c r="E45" s="115">
        <v>2120.19</v>
      </c>
      <c r="F45" s="114">
        <v>113.2</v>
      </c>
      <c r="G45" s="114">
        <v>0</v>
      </c>
      <c r="H45" s="114">
        <v>0</v>
      </c>
      <c r="I45" s="116" t="s">
        <v>255</v>
      </c>
    </row>
    <row r="46" spans="1:9" hidden="1" x14ac:dyDescent="0.2">
      <c r="A46" s="133" t="s">
        <v>249</v>
      </c>
      <c r="B46" s="117">
        <v>14669</v>
      </c>
      <c r="C46" s="117">
        <v>1488.09</v>
      </c>
      <c r="D46" s="117">
        <v>1680.37</v>
      </c>
      <c r="E46" s="118">
        <v>2120.19</v>
      </c>
      <c r="F46" s="117">
        <v>113.2</v>
      </c>
      <c r="G46" s="117">
        <v>0</v>
      </c>
      <c r="H46" s="117">
        <v>0</v>
      </c>
      <c r="I46" s="116" t="s">
        <v>256</v>
      </c>
    </row>
    <row r="47" spans="1:9" hidden="1" x14ac:dyDescent="0.2">
      <c r="A47" s="133" t="s">
        <v>249</v>
      </c>
      <c r="B47" s="117">
        <v>13752</v>
      </c>
      <c r="C47" s="117">
        <v>1513.41</v>
      </c>
      <c r="D47" s="117">
        <v>1724.69</v>
      </c>
      <c r="E47" s="118">
        <v>1942.15</v>
      </c>
      <c r="F47" s="117">
        <v>113.2</v>
      </c>
      <c r="G47" s="117">
        <v>0</v>
      </c>
      <c r="H47" s="117">
        <v>0</v>
      </c>
      <c r="I47" s="116" t="s">
        <v>257</v>
      </c>
    </row>
    <row r="48" spans="1:9" hidden="1" x14ac:dyDescent="0.2">
      <c r="A48" s="133" t="s">
        <v>249</v>
      </c>
      <c r="B48" s="117">
        <v>14449</v>
      </c>
      <c r="C48" s="117">
        <v>1494.42</v>
      </c>
      <c r="D48" s="117">
        <v>1691.45</v>
      </c>
      <c r="E48" s="118">
        <v>2065.5100000000002</v>
      </c>
      <c r="F48" s="117">
        <v>113.2</v>
      </c>
      <c r="G48" s="117">
        <v>0</v>
      </c>
      <c r="H48" s="117">
        <v>0</v>
      </c>
      <c r="I48" s="116" t="s">
        <v>279</v>
      </c>
    </row>
    <row r="49" spans="1:9" hidden="1" x14ac:dyDescent="0.2">
      <c r="A49" s="133" t="s">
        <v>249</v>
      </c>
      <c r="B49" s="117">
        <v>12047</v>
      </c>
      <c r="C49" s="117">
        <v>1645.22</v>
      </c>
      <c r="D49" s="117">
        <v>1793.69</v>
      </c>
      <c r="E49" s="118">
        <f>1313.75+180.64</f>
        <v>1494.3899999999999</v>
      </c>
      <c r="F49" s="117">
        <v>113.2</v>
      </c>
      <c r="G49" s="117">
        <v>0</v>
      </c>
      <c r="H49" s="117">
        <v>0</v>
      </c>
      <c r="I49" s="116" t="s">
        <v>292</v>
      </c>
    </row>
    <row r="50" spans="1:9" hidden="1" x14ac:dyDescent="0.2">
      <c r="A50" s="133" t="s">
        <v>249</v>
      </c>
      <c r="B50" s="117">
        <v>15236</v>
      </c>
      <c r="C50" s="117">
        <v>1553</v>
      </c>
      <c r="D50" s="117">
        <v>1733.91</v>
      </c>
      <c r="E50" s="118">
        <v>2312.1799999999998</v>
      </c>
      <c r="F50" s="117">
        <v>113.2</v>
      </c>
      <c r="G50" s="117">
        <v>0</v>
      </c>
      <c r="H50" s="117">
        <v>0</v>
      </c>
      <c r="I50" s="116" t="s">
        <v>301</v>
      </c>
    </row>
    <row r="51" spans="1:9" x14ac:dyDescent="0.2">
      <c r="A51" s="133" t="s">
        <v>249</v>
      </c>
      <c r="B51" s="117">
        <v>15237</v>
      </c>
      <c r="C51" s="117">
        <v>1556.5</v>
      </c>
      <c r="D51" s="117">
        <v>1740.03</v>
      </c>
      <c r="E51" s="118">
        <v>2320.64</v>
      </c>
      <c r="F51" s="117">
        <v>113.2</v>
      </c>
      <c r="G51" s="117">
        <v>0</v>
      </c>
      <c r="H51" s="117">
        <v>27.72</v>
      </c>
      <c r="I51" s="116" t="s">
        <v>313</v>
      </c>
    </row>
    <row r="52" spans="1:9" x14ac:dyDescent="0.2">
      <c r="A52" s="105"/>
      <c r="B52" s="107">
        <f>SUBTOTAL(109,Tabela1547[FOLHA])</f>
        <v>15237</v>
      </c>
      <c r="C52" s="108">
        <f>SUBTOTAL(109,Tabela1547[FGTS])</f>
        <v>1556.5</v>
      </c>
      <c r="D52" s="108">
        <f>SUBTOTAL(109,Tabela1547[INSS])</f>
        <v>1740.03</v>
      </c>
      <c r="E52" s="108">
        <f>SUBTOTAL(109,Tabela1547[IRRF])</f>
        <v>2320.64</v>
      </c>
      <c r="F52" s="108">
        <f>SUBTOTAL(109,Tabela1547[UNIODONTO])</f>
        <v>113.2</v>
      </c>
      <c r="G52" s="108">
        <f>SUBTOTAL(109,Tabela1547[UNIMED])</f>
        <v>0</v>
      </c>
      <c r="H52" s="108">
        <f>SUBTOTAL(109,Tabela1547[FARMACIA])</f>
        <v>27.72</v>
      </c>
      <c r="I52" s="116"/>
    </row>
    <row r="53" spans="1:9" x14ac:dyDescent="0.2">
      <c r="A53" s="250" t="s">
        <v>264</v>
      </c>
      <c r="B53" s="250"/>
      <c r="C53" s="250"/>
      <c r="D53" s="251">
        <f>SUM(Tabela1547[[#Totals],[FOLHA]:[FARMACIA]])</f>
        <v>20995.09</v>
      </c>
      <c r="E53" s="251"/>
      <c r="F53" s="119"/>
      <c r="G53" s="119"/>
      <c r="H53" s="119"/>
    </row>
    <row r="54" spans="1:9" x14ac:dyDescent="0.2">
      <c r="A54" s="120"/>
      <c r="B54" s="120"/>
      <c r="C54" s="120"/>
      <c r="D54" s="121"/>
      <c r="E54" s="121"/>
      <c r="F54" s="119"/>
      <c r="G54" s="119"/>
      <c r="H54" s="119"/>
    </row>
    <row r="55" spans="1:9" x14ac:dyDescent="0.2">
      <c r="A55" s="246" t="s">
        <v>277</v>
      </c>
      <c r="B55" s="247"/>
      <c r="C55" s="247"/>
      <c r="D55" s="247"/>
      <c r="E55" s="247"/>
      <c r="F55" s="247"/>
      <c r="G55" s="247"/>
      <c r="H55" s="247"/>
      <c r="I55" s="248"/>
    </row>
    <row r="56" spans="1:9" x14ac:dyDescent="0.2">
      <c r="A56" s="126" t="s">
        <v>248</v>
      </c>
      <c r="B56" s="127" t="s">
        <v>271</v>
      </c>
      <c r="C56" s="128" t="s">
        <v>272</v>
      </c>
      <c r="D56" s="124"/>
      <c r="H56" s="124"/>
      <c r="I56" s="124"/>
    </row>
    <row r="57" spans="1:9" hidden="1" x14ac:dyDescent="0.2">
      <c r="A57" s="130" t="s">
        <v>276</v>
      </c>
      <c r="B57" s="123" t="s">
        <v>265</v>
      </c>
      <c r="C57" s="125">
        <v>18602.53</v>
      </c>
    </row>
    <row r="58" spans="1:9" hidden="1" x14ac:dyDescent="0.2">
      <c r="A58" s="130" t="s">
        <v>276</v>
      </c>
      <c r="B58" s="123" t="s">
        <v>59</v>
      </c>
      <c r="C58" s="125">
        <v>1488.09</v>
      </c>
    </row>
    <row r="59" spans="1:9" hidden="1" x14ac:dyDescent="0.2">
      <c r="A59" s="130" t="s">
        <v>273</v>
      </c>
      <c r="B59" s="123" t="s">
        <v>265</v>
      </c>
      <c r="C59" s="125">
        <v>18919.29</v>
      </c>
    </row>
    <row r="60" spans="1:9" hidden="1" x14ac:dyDescent="0.2">
      <c r="A60" s="130" t="s">
        <v>273</v>
      </c>
      <c r="B60" s="123" t="s">
        <v>59</v>
      </c>
      <c r="C60" s="125">
        <v>1513.41</v>
      </c>
    </row>
    <row r="61" spans="1:9" hidden="1" x14ac:dyDescent="0.2">
      <c r="A61" s="130" t="s">
        <v>279</v>
      </c>
      <c r="B61" s="123" t="s">
        <v>265</v>
      </c>
      <c r="C61" s="125">
        <v>18680.7</v>
      </c>
    </row>
    <row r="62" spans="1:9" hidden="1" x14ac:dyDescent="0.2">
      <c r="A62" s="130" t="s">
        <v>279</v>
      </c>
      <c r="B62" s="123" t="s">
        <v>59</v>
      </c>
      <c r="C62" s="125">
        <v>1494.42</v>
      </c>
    </row>
    <row r="63" spans="1:9" hidden="1" x14ac:dyDescent="0.2">
      <c r="A63" s="133" t="s">
        <v>292</v>
      </c>
      <c r="B63" s="123" t="s">
        <v>265</v>
      </c>
      <c r="C63" s="125">
        <v>20566.349999999999</v>
      </c>
    </row>
    <row r="64" spans="1:9" hidden="1" x14ac:dyDescent="0.2">
      <c r="A64" s="133" t="s">
        <v>292</v>
      </c>
      <c r="B64" s="123" t="s">
        <v>59</v>
      </c>
      <c r="C64" s="125">
        <v>1645.22</v>
      </c>
    </row>
    <row r="65" spans="1:3" hidden="1" x14ac:dyDescent="0.2">
      <c r="A65" s="133" t="s">
        <v>301</v>
      </c>
      <c r="B65" s="123" t="s">
        <v>265</v>
      </c>
      <c r="C65" s="125">
        <v>19414.02</v>
      </c>
    </row>
    <row r="66" spans="1:3" hidden="1" x14ac:dyDescent="0.2">
      <c r="A66" s="133" t="s">
        <v>301</v>
      </c>
      <c r="B66" s="123" t="s">
        <v>59</v>
      </c>
      <c r="C66" s="125">
        <v>1553</v>
      </c>
    </row>
    <row r="67" spans="1:3" x14ac:dyDescent="0.2">
      <c r="A67" s="133" t="s">
        <v>313</v>
      </c>
      <c r="B67" s="123" t="s">
        <v>265</v>
      </c>
      <c r="C67" s="125">
        <v>19457.75</v>
      </c>
    </row>
    <row r="68" spans="1:3" x14ac:dyDescent="0.2">
      <c r="A68" s="133" t="s">
        <v>313</v>
      </c>
      <c r="B68" s="123" t="s">
        <v>59</v>
      </c>
      <c r="C68" s="125">
        <v>1556.5</v>
      </c>
    </row>
    <row r="69" spans="1:3" x14ac:dyDescent="0.2">
      <c r="A69" s="105"/>
      <c r="B69" s="106"/>
      <c r="C69" s="150">
        <f>SUBTOTAL(109,Tabela38[Valor])</f>
        <v>21014.25</v>
      </c>
    </row>
    <row r="70" spans="1:3" x14ac:dyDescent="0.2">
      <c r="C70" s="122"/>
    </row>
    <row r="71" spans="1:3" x14ac:dyDescent="0.2">
      <c r="A71" s="126" t="s">
        <v>275</v>
      </c>
      <c r="B71" s="127" t="s">
        <v>260</v>
      </c>
      <c r="C71" s="128" t="s">
        <v>211</v>
      </c>
    </row>
    <row r="72" spans="1:3" hidden="1" x14ac:dyDescent="0.2">
      <c r="A72" s="130" t="s">
        <v>276</v>
      </c>
      <c r="B72" s="129" t="s">
        <v>266</v>
      </c>
      <c r="C72" s="131">
        <v>20078.849999999999</v>
      </c>
    </row>
    <row r="73" spans="1:3" hidden="1" x14ac:dyDescent="0.2">
      <c r="A73" s="130" t="s">
        <v>276</v>
      </c>
      <c r="B73" s="129" t="s">
        <v>267</v>
      </c>
      <c r="C73" s="131">
        <v>11.77</v>
      </c>
    </row>
    <row r="74" spans="1:3" hidden="1" x14ac:dyDescent="0.2">
      <c r="A74" s="130" t="s">
        <v>276</v>
      </c>
      <c r="B74" s="129" t="s">
        <v>268</v>
      </c>
      <c r="C74" s="131">
        <v>0</v>
      </c>
    </row>
    <row r="75" spans="1:3" hidden="1" x14ac:dyDescent="0.2">
      <c r="A75" s="130" t="s">
        <v>276</v>
      </c>
      <c r="B75" s="129" t="s">
        <v>269</v>
      </c>
      <c r="C75" s="131">
        <v>0</v>
      </c>
    </row>
    <row r="76" spans="1:3" hidden="1" x14ac:dyDescent="0.2">
      <c r="A76" s="130" t="s">
        <v>276</v>
      </c>
      <c r="B76" s="129" t="s">
        <v>270</v>
      </c>
      <c r="C76" s="131">
        <v>0</v>
      </c>
    </row>
    <row r="77" spans="1:3" hidden="1" x14ac:dyDescent="0.2">
      <c r="A77" s="130" t="s">
        <v>276</v>
      </c>
      <c r="B77" s="129" t="s">
        <v>274</v>
      </c>
      <c r="C77" s="131">
        <v>0</v>
      </c>
    </row>
    <row r="78" spans="1:3" hidden="1" x14ac:dyDescent="0.2">
      <c r="A78" s="130" t="s">
        <v>273</v>
      </c>
      <c r="B78" s="129" t="s">
        <v>266</v>
      </c>
      <c r="C78" s="131">
        <v>19045.45</v>
      </c>
    </row>
    <row r="79" spans="1:3" hidden="1" x14ac:dyDescent="0.2">
      <c r="A79" s="130" t="s">
        <v>273</v>
      </c>
      <c r="B79" s="129" t="s">
        <v>267</v>
      </c>
      <c r="C79" s="125">
        <f>0.84+17.67</f>
        <v>18.510000000000002</v>
      </c>
    </row>
    <row r="80" spans="1:3" hidden="1" x14ac:dyDescent="0.2">
      <c r="A80" s="130" t="s">
        <v>273</v>
      </c>
      <c r="B80" s="129" t="s">
        <v>268</v>
      </c>
      <c r="C80" s="125">
        <v>0</v>
      </c>
    </row>
    <row r="81" spans="1:3" hidden="1" x14ac:dyDescent="0.2">
      <c r="A81" s="130" t="s">
        <v>273</v>
      </c>
      <c r="B81" s="129" t="s">
        <v>269</v>
      </c>
      <c r="C81" s="125">
        <v>1368.74</v>
      </c>
    </row>
    <row r="82" spans="1:3" hidden="1" x14ac:dyDescent="0.2">
      <c r="A82" s="130" t="s">
        <v>273</v>
      </c>
      <c r="B82" s="129" t="s">
        <v>270</v>
      </c>
      <c r="C82" s="132">
        <v>0</v>
      </c>
    </row>
    <row r="83" spans="1:3" hidden="1" x14ac:dyDescent="0.2">
      <c r="A83" s="130" t="s">
        <v>273</v>
      </c>
      <c r="B83" s="129" t="s">
        <v>274</v>
      </c>
      <c r="C83" s="132"/>
    </row>
    <row r="84" spans="1:3" hidden="1" x14ac:dyDescent="0.2">
      <c r="A84" s="130" t="s">
        <v>279</v>
      </c>
      <c r="B84" s="129" t="s">
        <v>266</v>
      </c>
      <c r="C84" s="131">
        <v>19813.580000000002</v>
      </c>
    </row>
    <row r="85" spans="1:3" hidden="1" x14ac:dyDescent="0.2">
      <c r="A85" s="130" t="s">
        <v>279</v>
      </c>
      <c r="B85" s="129" t="s">
        <v>267</v>
      </c>
      <c r="C85" s="125">
        <f>1.69+17.67</f>
        <v>19.360000000000003</v>
      </c>
    </row>
    <row r="86" spans="1:3" hidden="1" x14ac:dyDescent="0.2">
      <c r="A86" s="130" t="s">
        <v>279</v>
      </c>
      <c r="B86" s="129" t="s">
        <v>268</v>
      </c>
      <c r="C86" s="125">
        <v>0</v>
      </c>
    </row>
    <row r="87" spans="1:3" hidden="1" x14ac:dyDescent="0.2">
      <c r="A87" s="130" t="s">
        <v>279</v>
      </c>
      <c r="B87" s="129" t="s">
        <v>269</v>
      </c>
      <c r="C87" s="125">
        <v>342.18</v>
      </c>
    </row>
    <row r="88" spans="1:3" hidden="1" x14ac:dyDescent="0.2">
      <c r="A88" s="130" t="s">
        <v>279</v>
      </c>
      <c r="B88" s="129" t="s">
        <v>270</v>
      </c>
      <c r="C88" s="132">
        <v>0</v>
      </c>
    </row>
    <row r="89" spans="1:3" hidden="1" x14ac:dyDescent="0.2">
      <c r="A89" s="130" t="s">
        <v>279</v>
      </c>
      <c r="B89" s="129" t="s">
        <v>274</v>
      </c>
      <c r="C89" s="132"/>
    </row>
    <row r="90" spans="1:3" hidden="1" x14ac:dyDescent="0.2">
      <c r="A90" s="133" t="s">
        <v>292</v>
      </c>
      <c r="B90" s="129" t="s">
        <v>266</v>
      </c>
      <c r="C90" s="131">
        <v>17093.5</v>
      </c>
    </row>
    <row r="91" spans="1:3" hidden="1" x14ac:dyDescent="0.2">
      <c r="A91" s="133" t="s">
        <v>292</v>
      </c>
      <c r="B91" s="129" t="s">
        <v>267</v>
      </c>
      <c r="C91" s="125">
        <f>0.51+17.67</f>
        <v>18.180000000000003</v>
      </c>
    </row>
    <row r="92" spans="1:3" hidden="1" x14ac:dyDescent="0.2">
      <c r="A92" s="133" t="s">
        <v>292</v>
      </c>
      <c r="B92" s="129" t="s">
        <v>268</v>
      </c>
      <c r="C92" s="125">
        <v>0</v>
      </c>
    </row>
    <row r="93" spans="1:3" hidden="1" x14ac:dyDescent="0.2">
      <c r="A93" s="133" t="s">
        <v>292</v>
      </c>
      <c r="B93" s="129" t="s">
        <v>269</v>
      </c>
      <c r="C93" s="125">
        <v>5099.8900000000003</v>
      </c>
    </row>
    <row r="94" spans="1:3" hidden="1" x14ac:dyDescent="0.2">
      <c r="A94" s="133" t="s">
        <v>292</v>
      </c>
      <c r="B94" s="129" t="s">
        <v>270</v>
      </c>
      <c r="C94" s="132">
        <v>0</v>
      </c>
    </row>
    <row r="95" spans="1:3" hidden="1" x14ac:dyDescent="0.2">
      <c r="A95" s="133" t="s">
        <v>292</v>
      </c>
      <c r="B95" s="129" t="s">
        <v>274</v>
      </c>
      <c r="C95" s="132"/>
    </row>
    <row r="96" spans="1:3" hidden="1" x14ac:dyDescent="0.2">
      <c r="A96" s="133" t="s">
        <v>301</v>
      </c>
      <c r="B96" s="129" t="s">
        <v>266</v>
      </c>
      <c r="C96" s="131">
        <v>20948.29</v>
      </c>
    </row>
    <row r="97" spans="1:3" hidden="1" x14ac:dyDescent="0.2">
      <c r="A97" s="133" t="s">
        <v>301</v>
      </c>
      <c r="B97" s="129" t="s">
        <v>267</v>
      </c>
      <c r="C97" s="125">
        <f>1.06+17.67</f>
        <v>18.73</v>
      </c>
    </row>
    <row r="98" spans="1:3" hidden="1" x14ac:dyDescent="0.2">
      <c r="A98" s="133" t="s">
        <v>301</v>
      </c>
      <c r="B98" s="129" t="s">
        <v>268</v>
      </c>
      <c r="C98" s="125">
        <v>0</v>
      </c>
    </row>
    <row r="99" spans="1:3" hidden="1" x14ac:dyDescent="0.2">
      <c r="A99" s="133" t="s">
        <v>301</v>
      </c>
      <c r="B99" s="129" t="s">
        <v>269</v>
      </c>
      <c r="C99" s="125">
        <v>0</v>
      </c>
    </row>
    <row r="100" spans="1:3" hidden="1" x14ac:dyDescent="0.2">
      <c r="A100" s="133" t="s">
        <v>301</v>
      </c>
      <c r="B100" s="129" t="s">
        <v>270</v>
      </c>
      <c r="C100" s="132">
        <v>0</v>
      </c>
    </row>
    <row r="101" spans="1:3" hidden="1" x14ac:dyDescent="0.2">
      <c r="A101" s="133" t="s">
        <v>301</v>
      </c>
      <c r="B101" s="129" t="s">
        <v>274</v>
      </c>
      <c r="C101" s="132"/>
    </row>
    <row r="102" spans="1:3" x14ac:dyDescent="0.2">
      <c r="A102" s="133" t="s">
        <v>313</v>
      </c>
      <c r="B102" s="129" t="s">
        <v>266</v>
      </c>
      <c r="C102" s="131">
        <v>20995.09</v>
      </c>
    </row>
    <row r="103" spans="1:3" x14ac:dyDescent="0.2">
      <c r="A103" s="133" t="s">
        <v>313</v>
      </c>
      <c r="B103" s="129" t="s">
        <v>267</v>
      </c>
      <c r="C103" s="125">
        <f>1.49+17.67</f>
        <v>19.16</v>
      </c>
    </row>
    <row r="104" spans="1:3" x14ac:dyDescent="0.2">
      <c r="A104" s="133" t="s">
        <v>313</v>
      </c>
      <c r="B104" s="129" t="s">
        <v>268</v>
      </c>
      <c r="C104" s="125">
        <v>0</v>
      </c>
    </row>
    <row r="105" spans="1:3" x14ac:dyDescent="0.2">
      <c r="A105" s="133" t="s">
        <v>313</v>
      </c>
      <c r="B105" s="129" t="s">
        <v>269</v>
      </c>
      <c r="C105" s="125">
        <v>0</v>
      </c>
    </row>
    <row r="106" spans="1:3" x14ac:dyDescent="0.2">
      <c r="A106" s="133" t="s">
        <v>313</v>
      </c>
      <c r="B106" s="129" t="s">
        <v>270</v>
      </c>
      <c r="C106" s="132">
        <v>0</v>
      </c>
    </row>
    <row r="107" spans="1:3" x14ac:dyDescent="0.2">
      <c r="A107" s="133" t="s">
        <v>313</v>
      </c>
      <c r="B107" s="129" t="s">
        <v>274</v>
      </c>
      <c r="C107" s="132"/>
    </row>
    <row r="108" spans="1:3" x14ac:dyDescent="0.2">
      <c r="A108" s="133"/>
      <c r="B108" s="134"/>
      <c r="C108" s="110">
        <f>SUBTOTAL(109,Tabela49[VALOR])</f>
        <v>21014.25</v>
      </c>
    </row>
  </sheetData>
  <mergeCells count="6">
    <mergeCell ref="A41:I41"/>
    <mergeCell ref="A53:C53"/>
    <mergeCell ref="D53:E53"/>
    <mergeCell ref="A55:I55"/>
    <mergeCell ref="A9:I9"/>
    <mergeCell ref="A10:I10"/>
  </mergeCells>
  <pageMargins left="0.31496062992125984" right="0.11811023622047245" top="0.39370078740157483" bottom="0.39370078740157483" header="0.31496062992125984" footer="0.31496062992125984"/>
  <pageSetup paperSize="9" orientation="landscape" r:id="rId1"/>
  <drawing r:id="rId2"/>
  <tableParts count="4">
    <tablePart r:id="rId3"/>
    <tablePart r:id="rId4"/>
    <tablePart r:id="rId5"/>
    <tablePart r:id="rId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7"/>
      </x14:slicerList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F06AF-C488-4ECC-939F-3E6C2631BC9F}">
  <dimension ref="A7:F120"/>
  <sheetViews>
    <sheetView workbookViewId="0">
      <selection activeCell="I10" sqref="I10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263" t="s">
        <v>275</v>
      </c>
      <c r="B7" s="264"/>
      <c r="C7" s="264"/>
      <c r="D7" s="264"/>
      <c r="E7" s="297" t="s">
        <v>339</v>
      </c>
      <c r="F7" s="298"/>
    </row>
    <row r="8" spans="1:6" x14ac:dyDescent="0.25">
      <c r="A8" s="188"/>
      <c r="B8" s="188"/>
      <c r="C8" s="188"/>
      <c r="D8" s="188"/>
      <c r="E8" s="188"/>
      <c r="F8" s="189"/>
    </row>
    <row r="9" spans="1:6" ht="31.5" customHeight="1" x14ac:dyDescent="0.25">
      <c r="A9" s="265" t="s">
        <v>1</v>
      </c>
      <c r="B9" s="265"/>
      <c r="C9" s="265"/>
      <c r="D9" s="265"/>
      <c r="E9" s="265"/>
      <c r="F9" s="265"/>
    </row>
    <row r="10" spans="1:6" ht="177.6" customHeight="1" x14ac:dyDescent="0.25">
      <c r="A10" s="266" t="s">
        <v>333</v>
      </c>
      <c r="B10" s="266"/>
      <c r="C10" s="266"/>
      <c r="D10" s="266"/>
      <c r="E10" s="266"/>
      <c r="F10" s="266"/>
    </row>
    <row r="11" spans="1:6" x14ac:dyDescent="0.25">
      <c r="A11" s="237"/>
      <c r="B11" s="237"/>
      <c r="C11" s="237"/>
      <c r="D11" s="237"/>
      <c r="E11" s="237"/>
      <c r="F11" s="237"/>
    </row>
    <row r="12" spans="1:6" x14ac:dyDescent="0.25">
      <c r="A12" s="12"/>
      <c r="B12" s="12"/>
      <c r="C12" s="12"/>
      <c r="D12" s="12"/>
      <c r="E12" s="12"/>
      <c r="F12" s="12"/>
    </row>
    <row r="13" spans="1:6" x14ac:dyDescent="0.25">
      <c r="A13" s="238" t="s">
        <v>2</v>
      </c>
      <c r="B13" s="238"/>
      <c r="C13" s="1" t="s">
        <v>3</v>
      </c>
      <c r="D13" s="1" t="s">
        <v>4</v>
      </c>
      <c r="E13" s="1" t="s">
        <v>5</v>
      </c>
    </row>
    <row r="14" spans="1:6" ht="37.15" customHeight="1" x14ac:dyDescent="0.25">
      <c r="A14" s="267" t="s">
        <v>334</v>
      </c>
      <c r="B14" s="268"/>
      <c r="C14" s="2" t="s">
        <v>335</v>
      </c>
      <c r="D14" s="3" t="s">
        <v>336</v>
      </c>
      <c r="E14" s="5">
        <v>600600</v>
      </c>
    </row>
    <row r="15" spans="1:6" x14ac:dyDescent="0.25">
      <c r="A15" s="239" t="s">
        <v>7</v>
      </c>
      <c r="B15" s="239"/>
      <c r="C15" s="3"/>
      <c r="D15" s="3"/>
      <c r="E15" s="5"/>
    </row>
    <row r="16" spans="1:6" x14ac:dyDescent="0.25">
      <c r="A16" s="239" t="s">
        <v>7</v>
      </c>
      <c r="B16" s="239"/>
      <c r="C16" s="3"/>
      <c r="D16" s="3"/>
      <c r="E16" s="5"/>
    </row>
    <row r="18" spans="1:6" ht="19.149999999999999" customHeight="1" x14ac:dyDescent="0.25">
      <c r="A18" s="257" t="s">
        <v>8</v>
      </c>
      <c r="B18" s="258"/>
      <c r="C18" s="258"/>
      <c r="D18" s="258"/>
      <c r="E18" s="259"/>
    </row>
    <row r="19" spans="1:6" ht="27" x14ac:dyDescent="0.25">
      <c r="A19" s="185" t="s">
        <v>9</v>
      </c>
      <c r="B19" s="185" t="s">
        <v>10</v>
      </c>
      <c r="C19" s="185" t="s">
        <v>11</v>
      </c>
      <c r="D19" s="185" t="s">
        <v>12</v>
      </c>
      <c r="E19" s="186" t="s">
        <v>13</v>
      </c>
    </row>
    <row r="20" spans="1:6" x14ac:dyDescent="0.25">
      <c r="A20" s="174">
        <v>44946</v>
      </c>
      <c r="B20" s="203">
        <v>50050</v>
      </c>
      <c r="C20" s="204">
        <v>44957</v>
      </c>
      <c r="D20" s="205">
        <v>301340</v>
      </c>
      <c r="E20" s="168">
        <v>50050</v>
      </c>
    </row>
    <row r="21" spans="1:6" x14ac:dyDescent="0.25">
      <c r="A21" s="207"/>
      <c r="B21" s="208"/>
      <c r="C21" s="208"/>
      <c r="D21" s="208"/>
      <c r="E21" s="209">
        <f>SUBTOTAL(109,E20:E20)</f>
        <v>50050</v>
      </c>
    </row>
    <row r="22" spans="1:6" ht="19.149999999999999" customHeight="1" x14ac:dyDescent="0.25">
      <c r="A22" s="260" t="s">
        <v>14</v>
      </c>
      <c r="B22" s="261"/>
      <c r="C22" s="261"/>
      <c r="D22" s="262"/>
      <c r="E22" s="168">
        <v>29.51</v>
      </c>
    </row>
    <row r="23" spans="1:6" x14ac:dyDescent="0.25">
      <c r="A23" s="239" t="s">
        <v>15</v>
      </c>
      <c r="B23" s="239"/>
      <c r="C23" s="239"/>
      <c r="D23" s="239"/>
      <c r="E23" s="168">
        <f>E21</f>
        <v>50050</v>
      </c>
    </row>
    <row r="24" spans="1:6" ht="14.45" customHeight="1" x14ac:dyDescent="0.25">
      <c r="A24" s="239" t="s">
        <v>16</v>
      </c>
      <c r="B24" s="239"/>
      <c r="C24" s="239"/>
      <c r="D24" s="239"/>
      <c r="E24" s="168">
        <v>14.53</v>
      </c>
    </row>
    <row r="25" spans="1:6" ht="14.45" customHeight="1" x14ac:dyDescent="0.25">
      <c r="A25" s="239" t="s">
        <v>17</v>
      </c>
      <c r="B25" s="239"/>
      <c r="C25" s="239"/>
      <c r="D25" s="239"/>
      <c r="E25" s="168">
        <f t="shared" ref="E25" si="0">B43</f>
        <v>0</v>
      </c>
    </row>
    <row r="26" spans="1:6" ht="14.45" customHeight="1" x14ac:dyDescent="0.25">
      <c r="A26" s="239" t="s">
        <v>18</v>
      </c>
      <c r="B26" s="239"/>
      <c r="C26" s="239"/>
      <c r="D26" s="239"/>
      <c r="E26" s="168">
        <f>SUM(E22:E25)</f>
        <v>50094.04</v>
      </c>
    </row>
    <row r="27" spans="1:6" x14ac:dyDescent="0.25">
      <c r="A27" s="255"/>
      <c r="B27" s="255"/>
      <c r="C27" s="255"/>
      <c r="D27" s="255"/>
      <c r="E27" s="255"/>
    </row>
    <row r="28" spans="1:6" ht="14.45" customHeight="1" x14ac:dyDescent="0.25">
      <c r="A28" s="239" t="s">
        <v>19</v>
      </c>
      <c r="B28" s="239"/>
      <c r="C28" s="239"/>
      <c r="D28" s="239"/>
      <c r="E28" s="168">
        <v>3702.91</v>
      </c>
    </row>
    <row r="29" spans="1:6" ht="14.45" customHeight="1" x14ac:dyDescent="0.25">
      <c r="A29" s="239" t="s">
        <v>20</v>
      </c>
      <c r="B29" s="239"/>
      <c r="C29" s="239"/>
      <c r="D29" s="239"/>
      <c r="E29" s="168">
        <v>53796.95</v>
      </c>
    </row>
    <row r="30" spans="1:6" ht="14.45" customHeight="1" x14ac:dyDescent="0.25">
      <c r="A30" s="187"/>
      <c r="B30" s="187"/>
      <c r="C30" s="187"/>
      <c r="D30" s="187"/>
      <c r="E30" s="181"/>
    </row>
    <row r="31" spans="1:6" ht="40.5" customHeight="1" x14ac:dyDescent="0.25"/>
    <row r="32" spans="1:6" ht="63" customHeight="1" x14ac:dyDescent="0.25">
      <c r="A32" s="256" t="s">
        <v>337</v>
      </c>
      <c r="B32" s="256"/>
      <c r="C32" s="256"/>
      <c r="D32" s="256"/>
      <c r="E32" s="256"/>
      <c r="F32" s="256"/>
    </row>
    <row r="33" spans="1:6" x14ac:dyDescent="0.25">
      <c r="A33" s="176"/>
      <c r="B33" s="176"/>
      <c r="C33" s="176"/>
      <c r="D33" s="176"/>
      <c r="E33" s="176"/>
      <c r="F33" s="176"/>
    </row>
    <row r="34" spans="1:6" x14ac:dyDescent="0.25">
      <c r="A34" s="176"/>
      <c r="B34" s="176"/>
      <c r="C34" s="176"/>
      <c r="D34" s="176"/>
      <c r="E34" s="176"/>
      <c r="F34" s="176"/>
    </row>
    <row r="42" spans="1:6" ht="67.5" x14ac:dyDescent="0.25">
      <c r="A42" s="224" t="s">
        <v>21</v>
      </c>
      <c r="B42" s="224" t="s">
        <v>22</v>
      </c>
      <c r="C42" s="13" t="s">
        <v>23</v>
      </c>
      <c r="D42" s="13" t="s">
        <v>24</v>
      </c>
      <c r="E42" s="13" t="s">
        <v>25</v>
      </c>
      <c r="F42" s="224" t="s">
        <v>26</v>
      </c>
    </row>
    <row r="43" spans="1:6" x14ac:dyDescent="0.25">
      <c r="A43" s="224"/>
      <c r="B43" s="224"/>
      <c r="C43" s="14" t="s">
        <v>27</v>
      </c>
      <c r="D43" s="14" t="s">
        <v>28</v>
      </c>
      <c r="E43" s="14" t="s">
        <v>29</v>
      </c>
      <c r="F43" s="224"/>
    </row>
    <row r="44" spans="1:6" x14ac:dyDescent="0.25">
      <c r="A44" s="15"/>
      <c r="B44" s="224" t="s">
        <v>30</v>
      </c>
      <c r="C44" s="224"/>
      <c r="D44" s="224"/>
      <c r="E44" s="224"/>
      <c r="F44" s="224"/>
    </row>
    <row r="45" spans="1:6" ht="22.5" x14ac:dyDescent="0.25">
      <c r="A45" s="16" t="s">
        <v>31</v>
      </c>
      <c r="B45" s="91">
        <v>48189.71</v>
      </c>
      <c r="C45" s="88">
        <v>0</v>
      </c>
      <c r="D45" s="88">
        <v>32747.53</v>
      </c>
      <c r="E45" s="88">
        <v>32747.53</v>
      </c>
      <c r="F45" s="91">
        <v>0</v>
      </c>
    </row>
    <row r="46" spans="1:6" ht="22.5" x14ac:dyDescent="0.25">
      <c r="A46" s="16" t="s">
        <v>32</v>
      </c>
      <c r="B46" s="90">
        <v>0</v>
      </c>
      <c r="C46" s="88">
        <v>0</v>
      </c>
      <c r="D46" s="88">
        <v>0</v>
      </c>
      <c r="E46" s="88">
        <v>0</v>
      </c>
      <c r="F46" s="88">
        <v>0</v>
      </c>
    </row>
    <row r="47" spans="1:6" x14ac:dyDescent="0.25">
      <c r="A47" s="16" t="s">
        <v>33</v>
      </c>
      <c r="B47" s="88">
        <v>0</v>
      </c>
      <c r="C47" s="88">
        <v>0</v>
      </c>
      <c r="D47" s="88">
        <v>0</v>
      </c>
      <c r="E47" s="88">
        <v>0</v>
      </c>
      <c r="F47" s="88">
        <v>0</v>
      </c>
    </row>
    <row r="48" spans="1:6" ht="22.5" x14ac:dyDescent="0.25">
      <c r="A48" s="16" t="s">
        <v>34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</row>
    <row r="49" spans="1:6" ht="22.5" x14ac:dyDescent="0.25">
      <c r="A49" s="16" t="s">
        <v>35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</row>
    <row r="50" spans="1:6" ht="22.5" x14ac:dyDescent="0.25">
      <c r="A50" s="16" t="s">
        <v>36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</row>
    <row r="51" spans="1:6" ht="22.5" x14ac:dyDescent="0.25">
      <c r="A51" s="16" t="s">
        <v>37</v>
      </c>
      <c r="B51" s="88">
        <v>0</v>
      </c>
      <c r="C51" s="88">
        <v>0</v>
      </c>
      <c r="D51" s="88">
        <v>0</v>
      </c>
      <c r="E51" s="88">
        <v>0</v>
      </c>
      <c r="F51" s="88">
        <v>0</v>
      </c>
    </row>
    <row r="52" spans="1:6" ht="22.5" x14ac:dyDescent="0.25">
      <c r="A52" s="16" t="s">
        <v>38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</row>
    <row r="53" spans="1:6" x14ac:dyDescent="0.25">
      <c r="A53" s="16" t="s">
        <v>39</v>
      </c>
      <c r="B53" s="88">
        <v>0</v>
      </c>
      <c r="C53" s="88">
        <v>0</v>
      </c>
      <c r="D53" s="88">
        <v>0</v>
      </c>
      <c r="E53" s="88">
        <v>0</v>
      </c>
      <c r="F53" s="88">
        <v>0</v>
      </c>
    </row>
    <row r="54" spans="1:6" x14ac:dyDescent="0.25">
      <c r="A54" s="16" t="s">
        <v>40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</row>
    <row r="55" spans="1:6" ht="22.5" x14ac:dyDescent="0.25">
      <c r="A55" s="16" t="s">
        <v>41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</row>
    <row r="56" spans="1:6" x14ac:dyDescent="0.25">
      <c r="A56" s="16" t="s">
        <v>42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</row>
    <row r="57" spans="1:6" ht="22.5" x14ac:dyDescent="0.25">
      <c r="A57" s="16" t="s">
        <v>43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</row>
    <row r="58" spans="1:6" x14ac:dyDescent="0.25">
      <c r="A58" s="16" t="s">
        <v>44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</row>
    <row r="59" spans="1:6" ht="33.75" x14ac:dyDescent="0.25">
      <c r="A59" s="16" t="s">
        <v>45</v>
      </c>
      <c r="B59" s="89">
        <v>34.729999999999997</v>
      </c>
      <c r="C59" s="88">
        <v>0</v>
      </c>
      <c r="D59" s="89">
        <v>34.729999999999997</v>
      </c>
      <c r="E59" s="89">
        <v>34.729999999999997</v>
      </c>
      <c r="F59" s="89">
        <v>0</v>
      </c>
    </row>
    <row r="60" spans="1:6" x14ac:dyDescent="0.25">
      <c r="A60" s="16" t="s">
        <v>46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</row>
    <row r="61" spans="1:6" x14ac:dyDescent="0.25">
      <c r="A61" s="17" t="s">
        <v>47</v>
      </c>
      <c r="B61" s="89">
        <f>SUM(B45:B60)</f>
        <v>48224.44</v>
      </c>
      <c r="C61" s="88">
        <f>SUM(C45:C60)</f>
        <v>0</v>
      </c>
      <c r="D61" s="89">
        <f>SUM(D45:D60)</f>
        <v>32782.26</v>
      </c>
      <c r="E61" s="89">
        <f t="shared" ref="E61" si="1">C61+D61</f>
        <v>32782.26</v>
      </c>
      <c r="F61" s="89">
        <f>SUM(F45:F60)</f>
        <v>0</v>
      </c>
    </row>
    <row r="62" spans="1:6" x14ac:dyDescent="0.25">
      <c r="A62" s="211"/>
      <c r="B62" s="212"/>
      <c r="C62" s="213"/>
      <c r="D62" s="212"/>
      <c r="E62" s="212"/>
      <c r="F62" s="212"/>
    </row>
    <row r="63" spans="1:6" ht="124.15" customHeight="1" x14ac:dyDescent="0.25">
      <c r="A63" s="225" t="s">
        <v>48</v>
      </c>
      <c r="B63" s="226"/>
      <c r="C63" s="226"/>
      <c r="D63" s="226"/>
      <c r="E63" s="226"/>
      <c r="F63" s="226"/>
    </row>
    <row r="84" spans="1:6" x14ac:dyDescent="0.25">
      <c r="A84" s="224" t="s">
        <v>49</v>
      </c>
      <c r="B84" s="224"/>
      <c r="C84" s="224"/>
      <c r="D84" s="224"/>
      <c r="E84" s="224"/>
      <c r="F84" s="224"/>
    </row>
    <row r="85" spans="1:6" x14ac:dyDescent="0.25">
      <c r="A85" s="219" t="s">
        <v>50</v>
      </c>
      <c r="B85" s="219"/>
      <c r="C85" s="219"/>
      <c r="D85" s="219"/>
      <c r="E85" s="220">
        <f>E29</f>
        <v>53796.95</v>
      </c>
      <c r="F85" s="220"/>
    </row>
    <row r="86" spans="1:6" x14ac:dyDescent="0.25">
      <c r="A86" s="219" t="s">
        <v>51</v>
      </c>
      <c r="B86" s="219"/>
      <c r="C86" s="219"/>
      <c r="D86" s="219"/>
      <c r="E86" s="220">
        <f>C61+D61</f>
        <v>32782.26</v>
      </c>
      <c r="F86" s="220"/>
    </row>
    <row r="87" spans="1:6" x14ac:dyDescent="0.25">
      <c r="A87" s="219" t="s">
        <v>52</v>
      </c>
      <c r="B87" s="219"/>
      <c r="C87" s="219"/>
      <c r="D87" s="219"/>
      <c r="E87" s="254">
        <f>E85-E86</f>
        <v>21014.689999999995</v>
      </c>
      <c r="F87" s="254"/>
    </row>
    <row r="88" spans="1:6" x14ac:dyDescent="0.25">
      <c r="A88" s="219" t="s">
        <v>53</v>
      </c>
      <c r="B88" s="219"/>
      <c r="C88" s="219"/>
      <c r="D88" s="219"/>
      <c r="E88" s="254">
        <v>0</v>
      </c>
      <c r="F88" s="254"/>
    </row>
    <row r="89" spans="1:6" ht="14.45" customHeight="1" x14ac:dyDescent="0.25">
      <c r="A89" s="219" t="s">
        <v>54</v>
      </c>
      <c r="B89" s="219"/>
      <c r="C89" s="219"/>
      <c r="D89" s="219"/>
      <c r="E89" s="254">
        <f>E87</f>
        <v>21014.689999999995</v>
      </c>
      <c r="F89" s="254"/>
    </row>
    <row r="91" spans="1:6" ht="14.45" customHeight="1" x14ac:dyDescent="0.25"/>
    <row r="93" spans="1:6" x14ac:dyDescent="0.25">
      <c r="A93" s="19"/>
      <c r="B93" s="19"/>
      <c r="C93" s="19"/>
      <c r="D93" s="19"/>
      <c r="E93" s="19"/>
      <c r="F93" s="19"/>
    </row>
    <row r="98" spans="1:6" x14ac:dyDescent="0.25">
      <c r="A98" s="242" t="s">
        <v>55</v>
      </c>
      <c r="B98" s="242"/>
      <c r="C98" s="242"/>
      <c r="D98" s="242"/>
      <c r="E98" s="242"/>
      <c r="F98" s="242"/>
    </row>
    <row r="99" spans="1:6" x14ac:dyDescent="0.25">
      <c r="A99" s="242"/>
      <c r="B99" s="242"/>
      <c r="C99" s="242"/>
      <c r="D99" s="242"/>
      <c r="E99" s="242"/>
      <c r="F99" s="242"/>
    </row>
    <row r="100" spans="1:6" x14ac:dyDescent="0.25">
      <c r="A100" s="242"/>
      <c r="B100" s="242"/>
      <c r="C100" s="242"/>
      <c r="D100" s="242"/>
      <c r="E100" s="242"/>
      <c r="F100" s="242"/>
    </row>
    <row r="101" spans="1:6" x14ac:dyDescent="0.25">
      <c r="A101" s="242"/>
      <c r="B101" s="242"/>
      <c r="C101" s="242"/>
      <c r="D101" s="242"/>
      <c r="E101" s="242"/>
      <c r="F101" s="242"/>
    </row>
    <row r="102" spans="1:6" x14ac:dyDescent="0.25">
      <c r="A102" s="242"/>
      <c r="B102" s="242"/>
      <c r="C102" s="242"/>
      <c r="D102" s="242"/>
      <c r="E102" s="242"/>
      <c r="F102" s="242"/>
    </row>
    <row r="103" spans="1:6" x14ac:dyDescent="0.25">
      <c r="A103" s="242"/>
      <c r="B103" s="242"/>
      <c r="C103" s="242"/>
      <c r="D103" s="242"/>
      <c r="E103" s="242"/>
      <c r="F103" s="242"/>
    </row>
    <row r="109" spans="1:6" x14ac:dyDescent="0.25">
      <c r="A109" s="218"/>
      <c r="B109" s="218"/>
      <c r="C109" s="218"/>
      <c r="D109" s="218"/>
      <c r="E109" s="218"/>
      <c r="F109" s="218"/>
    </row>
    <row r="112" spans="1:6" x14ac:dyDescent="0.25">
      <c r="A112" s="243" t="s">
        <v>338</v>
      </c>
      <c r="B112" s="243"/>
      <c r="C112" s="243"/>
      <c r="D112" s="243"/>
      <c r="E112" s="243"/>
      <c r="F112" s="243"/>
    </row>
    <row r="120" spans="1:6" x14ac:dyDescent="0.25">
      <c r="A120" s="164" t="s">
        <v>56</v>
      </c>
      <c r="B120" s="164"/>
      <c r="C120" s="164"/>
      <c r="D120" s="164"/>
      <c r="E120" s="164"/>
      <c r="F120" s="20"/>
    </row>
  </sheetData>
  <mergeCells count="38">
    <mergeCell ref="A24:D24"/>
    <mergeCell ref="A9:F9"/>
    <mergeCell ref="A10:F10"/>
    <mergeCell ref="A11:F11"/>
    <mergeCell ref="A13:B13"/>
    <mergeCell ref="A14:B14"/>
    <mergeCell ref="A7:D7"/>
    <mergeCell ref="E7:F7"/>
    <mergeCell ref="A15:B15"/>
    <mergeCell ref="A16:B16"/>
    <mergeCell ref="A18:E18"/>
    <mergeCell ref="A22:D22"/>
    <mergeCell ref="A23:D23"/>
    <mergeCell ref="A84:F84"/>
    <mergeCell ref="A25:D25"/>
    <mergeCell ref="A26:D26"/>
    <mergeCell ref="A27:E27"/>
    <mergeCell ref="A28:D28"/>
    <mergeCell ref="A29:D29"/>
    <mergeCell ref="A32:F32"/>
    <mergeCell ref="A42:A43"/>
    <mergeCell ref="B42:B43"/>
    <mergeCell ref="F42:F43"/>
    <mergeCell ref="B44:F44"/>
    <mergeCell ref="A63:F63"/>
    <mergeCell ref="A85:D85"/>
    <mergeCell ref="E85:F85"/>
    <mergeCell ref="A86:D86"/>
    <mergeCell ref="E86:F86"/>
    <mergeCell ref="A87:D87"/>
    <mergeCell ref="E87:F87"/>
    <mergeCell ref="A112:F112"/>
    <mergeCell ref="A88:D88"/>
    <mergeCell ref="E88:F88"/>
    <mergeCell ref="A89:D89"/>
    <mergeCell ref="E89:F89"/>
    <mergeCell ref="A98:F103"/>
    <mergeCell ref="A109:F109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92"/>
  <sheetViews>
    <sheetView workbookViewId="0">
      <selection activeCell="A7" sqref="A7:F8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57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207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44247</v>
      </c>
      <c r="B19" s="7">
        <v>22800</v>
      </c>
      <c r="C19" s="6">
        <v>44249</v>
      </c>
      <c r="D19" s="8">
        <v>221422</v>
      </c>
      <c r="E19" s="231">
        <v>22800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Janeiro!E76</f>
        <v>22800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22800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1.36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45601.36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45601.36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f>18602.33+1488.09</f>
        <v>20090.420000000002</v>
      </c>
      <c r="C53" s="88">
        <f>14675+113.2+1488.09+1680.37+2120.19</f>
        <v>20076.849999999999</v>
      </c>
      <c r="D53" s="88">
        <f>113.2+26.16</f>
        <v>139.36000000000001</v>
      </c>
      <c r="E53" s="88">
        <f>C53+D53</f>
        <v>20216.21</v>
      </c>
      <c r="F53" s="91">
        <f>B53</f>
        <v>20090.420000000002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f>0.23+1.5+0.04+0.26-0.01</f>
        <v>2.0200000000000005</v>
      </c>
      <c r="C67" s="88">
        <v>0</v>
      </c>
      <c r="D67" s="89">
        <f>B67</f>
        <v>2.0200000000000005</v>
      </c>
      <c r="E67" s="89">
        <f t="shared" si="0"/>
        <v>2.0200000000000005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20092.440000000002</v>
      </c>
      <c r="C69" s="88">
        <f>SUM(C53:C68)</f>
        <v>20076.849999999999</v>
      </c>
      <c r="D69" s="89">
        <f>SUM(D53:D68)</f>
        <v>141.38000000000002</v>
      </c>
      <c r="E69" s="89">
        <f t="shared" si="0"/>
        <v>20218.23</v>
      </c>
      <c r="F69" s="89">
        <f>SUM(F53:F68)</f>
        <v>20090.420000000002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>
      <c r="A71" s="224" t="s">
        <v>49</v>
      </c>
      <c r="B71" s="224"/>
      <c r="C71" s="224"/>
      <c r="D71" s="224"/>
      <c r="E71" s="224"/>
      <c r="F71" s="224"/>
    </row>
    <row r="72" spans="1:9" ht="12.75" customHeight="1" x14ac:dyDescent="0.25">
      <c r="A72" s="219" t="s">
        <v>50</v>
      </c>
      <c r="B72" s="219"/>
      <c r="C72" s="219"/>
      <c r="D72" s="219"/>
      <c r="E72" s="220">
        <f>E36</f>
        <v>45601.36</v>
      </c>
      <c r="F72" s="220"/>
      <c r="H72" s="36">
        <v>22818.35</v>
      </c>
      <c r="I72" s="214">
        <f>H72-H73</f>
        <v>307.61999999999898</v>
      </c>
    </row>
    <row r="73" spans="1:9" x14ac:dyDescent="0.25">
      <c r="A73" s="219" t="s">
        <v>51</v>
      </c>
      <c r="B73" s="219"/>
      <c r="C73" s="219"/>
      <c r="D73" s="219"/>
      <c r="E73" s="220">
        <f>C69+D69</f>
        <v>20218.23</v>
      </c>
      <c r="F73" s="220"/>
      <c r="H73" s="36">
        <v>22510.73</v>
      </c>
      <c r="I73" s="215"/>
    </row>
    <row r="74" spans="1:9" ht="14.25" customHeight="1" x14ac:dyDescent="0.25">
      <c r="A74" s="219" t="s">
        <v>52</v>
      </c>
      <c r="B74" s="219"/>
      <c r="C74" s="219"/>
      <c r="D74" s="219"/>
      <c r="E74" s="220">
        <f>E33-(E73-E35)</f>
        <v>25383.13</v>
      </c>
      <c r="F74" s="220"/>
    </row>
    <row r="75" spans="1:9" ht="13.5" customHeight="1" x14ac:dyDescent="0.25">
      <c r="A75" s="219" t="s">
        <v>53</v>
      </c>
      <c r="B75" s="219"/>
      <c r="C75" s="219"/>
      <c r="D75" s="219"/>
      <c r="E75" s="220">
        <v>0</v>
      </c>
      <c r="F75" s="220"/>
    </row>
    <row r="76" spans="1:9" ht="14.25" customHeight="1" x14ac:dyDescent="0.25">
      <c r="A76" s="219" t="s">
        <v>54</v>
      </c>
      <c r="B76" s="219"/>
      <c r="C76" s="219"/>
      <c r="D76" s="219"/>
      <c r="E76" s="220">
        <f>E74-E75</f>
        <v>25383.13</v>
      </c>
      <c r="F76" s="220"/>
    </row>
    <row r="77" spans="1:9" ht="17.25" customHeight="1" x14ac:dyDescent="0.25">
      <c r="A77" s="216" t="s">
        <v>55</v>
      </c>
      <c r="B77" s="216"/>
      <c r="C77" s="216"/>
      <c r="D77" s="216"/>
      <c r="E77" s="216"/>
      <c r="F77" s="216"/>
    </row>
    <row r="78" spans="1:9" ht="17.25" customHeight="1" x14ac:dyDescent="0.25">
      <c r="A78" s="216"/>
      <c r="B78" s="216"/>
      <c r="C78" s="216"/>
      <c r="D78" s="216"/>
      <c r="E78" s="216"/>
      <c r="F78" s="216"/>
    </row>
    <row r="79" spans="1:9" ht="17.25" customHeight="1" x14ac:dyDescent="0.25">
      <c r="A79" s="19"/>
      <c r="B79" s="19"/>
      <c r="C79" s="19"/>
      <c r="D79" s="19"/>
      <c r="E79" s="19"/>
      <c r="F79" s="19"/>
    </row>
    <row r="80" spans="1:9" ht="15.95" customHeight="1" x14ac:dyDescent="0.25">
      <c r="A80" s="217" t="s">
        <v>208</v>
      </c>
      <c r="B80" s="217"/>
      <c r="C80" s="217"/>
      <c r="D80" s="217"/>
      <c r="E80" s="217"/>
      <c r="F80" s="217"/>
    </row>
    <row r="81" spans="1:6" ht="13.5" customHeight="1" x14ac:dyDescent="0.25">
      <c r="A81" s="218"/>
      <c r="B81" s="218"/>
      <c r="C81" s="218"/>
      <c r="D81" s="218"/>
      <c r="E81" s="218"/>
      <c r="F81" s="218"/>
    </row>
    <row r="82" spans="1:6" ht="13.5" customHeight="1" x14ac:dyDescent="0.25">
      <c r="A82" s="20" t="s">
        <v>56</v>
      </c>
      <c r="B82" s="20"/>
      <c r="C82" s="20"/>
      <c r="D82" s="20"/>
      <c r="E82" s="20"/>
      <c r="F82" s="20"/>
    </row>
    <row r="83" spans="1:6" x14ac:dyDescent="0.25">
      <c r="A83" s="21"/>
      <c r="B83" s="21"/>
      <c r="C83" s="21"/>
      <c r="D83" s="21"/>
      <c r="E83" s="21"/>
      <c r="F83" s="21"/>
    </row>
    <row r="92" spans="1:6" ht="25.5" customHeight="1" x14ac:dyDescent="0.25"/>
  </sheetData>
  <mergeCells count="60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I72:I73"/>
    <mergeCell ref="A73:D73"/>
    <mergeCell ref="E73:F73"/>
    <mergeCell ref="A37:F37"/>
    <mergeCell ref="A38:F38"/>
    <mergeCell ref="A41:F41"/>
    <mergeCell ref="A50:A51"/>
    <mergeCell ref="B50:B51"/>
    <mergeCell ref="F50:F51"/>
    <mergeCell ref="B52:F52"/>
    <mergeCell ref="A70:F70"/>
    <mergeCell ref="A71:F71"/>
    <mergeCell ref="A72:D72"/>
    <mergeCell ref="E72:F72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D8D1-31DC-4E0D-8D7D-327FCE531DA1}">
  <dimension ref="A7:F77"/>
  <sheetViews>
    <sheetView tabSelected="1" topLeftCell="A63" workbookViewId="0">
      <selection activeCell="J78" sqref="J78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263" t="s">
        <v>340</v>
      </c>
      <c r="B7" s="264"/>
      <c r="C7" s="264"/>
      <c r="D7" s="264"/>
      <c r="E7" s="299" t="s">
        <v>341</v>
      </c>
      <c r="F7" s="299"/>
    </row>
    <row r="8" spans="1:6" x14ac:dyDescent="0.25">
      <c r="A8" s="188"/>
      <c r="B8" s="188"/>
      <c r="C8" s="188"/>
      <c r="D8" s="188"/>
      <c r="E8" s="188"/>
      <c r="F8" s="189"/>
    </row>
    <row r="9" spans="1:6" ht="31.5" customHeight="1" x14ac:dyDescent="0.25">
      <c r="A9" s="265" t="s">
        <v>1</v>
      </c>
      <c r="B9" s="265"/>
      <c r="C9" s="265"/>
      <c r="D9" s="265"/>
      <c r="E9" s="265"/>
      <c r="F9" s="265"/>
    </row>
    <row r="10" spans="1:6" ht="177.6" customHeight="1" x14ac:dyDescent="0.25">
      <c r="A10" s="266" t="s">
        <v>342</v>
      </c>
      <c r="B10" s="266"/>
      <c r="C10" s="266"/>
      <c r="D10" s="266"/>
      <c r="E10" s="266"/>
      <c r="F10" s="266"/>
    </row>
    <row r="11" spans="1:6" x14ac:dyDescent="0.25">
      <c r="A11" s="237"/>
      <c r="B11" s="237"/>
      <c r="C11" s="237"/>
      <c r="D11" s="237"/>
      <c r="E11" s="237"/>
      <c r="F11" s="237"/>
    </row>
    <row r="12" spans="1:6" x14ac:dyDescent="0.25">
      <c r="A12" s="12"/>
      <c r="B12" s="12"/>
      <c r="C12" s="12"/>
      <c r="D12" s="12"/>
      <c r="E12" s="12"/>
      <c r="F12" s="12"/>
    </row>
    <row r="13" spans="1:6" x14ac:dyDescent="0.25">
      <c r="A13" s="238" t="s">
        <v>2</v>
      </c>
      <c r="B13" s="238"/>
      <c r="C13" s="1" t="s">
        <v>3</v>
      </c>
      <c r="D13" s="1" t="s">
        <v>4</v>
      </c>
      <c r="E13" s="1" t="s">
        <v>5</v>
      </c>
    </row>
    <row r="14" spans="1:6" ht="37.15" customHeight="1" x14ac:dyDescent="0.25">
      <c r="A14" s="267" t="s">
        <v>343</v>
      </c>
      <c r="B14" s="268"/>
      <c r="C14" s="2" t="s">
        <v>344</v>
      </c>
      <c r="D14" s="3" t="s">
        <v>336</v>
      </c>
      <c r="E14" s="5">
        <v>600600</v>
      </c>
    </row>
    <row r="15" spans="1:6" x14ac:dyDescent="0.25">
      <c r="A15" s="239" t="s">
        <v>7</v>
      </c>
      <c r="B15" s="239"/>
      <c r="C15" s="3"/>
      <c r="D15" s="3"/>
      <c r="E15" s="5"/>
    </row>
    <row r="16" spans="1:6" x14ac:dyDescent="0.25">
      <c r="A16" s="239" t="s">
        <v>7</v>
      </c>
      <c r="B16" s="239"/>
      <c r="C16" s="3"/>
      <c r="D16" s="3"/>
      <c r="E16" s="5"/>
    </row>
    <row r="18" spans="1:6" ht="19.149999999999999" customHeight="1" x14ac:dyDescent="0.25">
      <c r="A18" s="257" t="s">
        <v>8</v>
      </c>
      <c r="B18" s="258"/>
      <c r="C18" s="258"/>
      <c r="D18" s="258"/>
      <c r="E18" s="259"/>
    </row>
    <row r="19" spans="1:6" ht="28.15" customHeight="1" x14ac:dyDescent="0.25">
      <c r="A19" s="185" t="s">
        <v>9</v>
      </c>
      <c r="B19" s="185" t="s">
        <v>10</v>
      </c>
      <c r="C19" s="185" t="s">
        <v>11</v>
      </c>
      <c r="D19" s="185" t="s">
        <v>12</v>
      </c>
      <c r="E19" s="186" t="s">
        <v>13</v>
      </c>
    </row>
    <row r="20" spans="1:6" x14ac:dyDescent="0.25">
      <c r="A20" s="174">
        <v>44984</v>
      </c>
      <c r="B20" s="203">
        <v>50050</v>
      </c>
      <c r="C20" s="204">
        <v>44979</v>
      </c>
      <c r="D20" s="205">
        <v>2466</v>
      </c>
      <c r="E20" s="168">
        <v>50050</v>
      </c>
    </row>
    <row r="21" spans="1:6" x14ac:dyDescent="0.25">
      <c r="A21" s="207"/>
      <c r="B21" s="208"/>
      <c r="C21" s="208"/>
      <c r="D21" s="208"/>
      <c r="E21" s="209">
        <f>SUBTOTAL(109,E20:E20)</f>
        <v>50050</v>
      </c>
    </row>
    <row r="22" spans="1:6" ht="19.149999999999999" customHeight="1" x14ac:dyDescent="0.25">
      <c r="A22" s="260" t="s">
        <v>14</v>
      </c>
      <c r="B22" s="261"/>
      <c r="C22" s="261"/>
      <c r="D22" s="262"/>
      <c r="E22" s="168">
        <v>21014.69</v>
      </c>
    </row>
    <row r="23" spans="1:6" x14ac:dyDescent="0.25">
      <c r="A23" s="239" t="s">
        <v>15</v>
      </c>
      <c r="B23" s="239"/>
      <c r="C23" s="239"/>
      <c r="D23" s="239"/>
      <c r="E23" s="168">
        <f>E21</f>
        <v>50050</v>
      </c>
    </row>
    <row r="24" spans="1:6" ht="14.45" customHeight="1" x14ac:dyDescent="0.25">
      <c r="A24" s="239" t="s">
        <v>16</v>
      </c>
      <c r="B24" s="239"/>
      <c r="C24" s="239"/>
      <c r="D24" s="239"/>
      <c r="E24" s="168">
        <v>224.67</v>
      </c>
    </row>
    <row r="25" spans="1:6" ht="14.45" customHeight="1" x14ac:dyDescent="0.25">
      <c r="A25" s="239" t="s">
        <v>17</v>
      </c>
      <c r="B25" s="239"/>
      <c r="C25" s="239"/>
      <c r="D25" s="239"/>
      <c r="E25" s="168">
        <f t="shared" ref="E25" si="0">B44</f>
        <v>0</v>
      </c>
    </row>
    <row r="26" spans="1:6" ht="14.45" customHeight="1" x14ac:dyDescent="0.25">
      <c r="A26" s="239" t="s">
        <v>18</v>
      </c>
      <c r="B26" s="239"/>
      <c r="C26" s="239"/>
      <c r="D26" s="239"/>
      <c r="E26" s="168">
        <f>SUM(E22:E25)</f>
        <v>71289.36</v>
      </c>
    </row>
    <row r="27" spans="1:6" x14ac:dyDescent="0.25">
      <c r="A27" s="255"/>
      <c r="B27" s="255"/>
      <c r="C27" s="255"/>
      <c r="D27" s="255"/>
      <c r="E27" s="255"/>
    </row>
    <row r="28" spans="1:6" ht="14.45" customHeight="1" x14ac:dyDescent="0.25">
      <c r="A28" s="239" t="s">
        <v>19</v>
      </c>
      <c r="B28" s="239"/>
      <c r="C28" s="239"/>
      <c r="D28" s="239"/>
      <c r="E28" s="168">
        <v>5311.26</v>
      </c>
    </row>
    <row r="29" spans="1:6" ht="14.45" customHeight="1" x14ac:dyDescent="0.25">
      <c r="A29" s="239" t="s">
        <v>20</v>
      </c>
      <c r="B29" s="239"/>
      <c r="C29" s="239"/>
      <c r="D29" s="239"/>
      <c r="E29" s="168">
        <f>E28+E26</f>
        <v>76600.62</v>
      </c>
    </row>
    <row r="30" spans="1:6" ht="63" customHeight="1" x14ac:dyDescent="0.25">
      <c r="A30" s="256" t="s">
        <v>337</v>
      </c>
      <c r="B30" s="256"/>
      <c r="C30" s="256"/>
      <c r="D30" s="256"/>
      <c r="E30" s="256"/>
      <c r="F30" s="256"/>
    </row>
    <row r="31" spans="1:6" x14ac:dyDescent="0.25">
      <c r="A31" s="176"/>
      <c r="B31" s="176"/>
      <c r="C31" s="176"/>
      <c r="D31" s="176"/>
      <c r="E31" s="176"/>
      <c r="F31" s="176"/>
    </row>
    <row r="32" spans="1:6" x14ac:dyDescent="0.25">
      <c r="A32" s="176"/>
      <c r="B32" s="176"/>
      <c r="C32" s="176"/>
      <c r="D32" s="176"/>
      <c r="E32" s="176"/>
      <c r="F32" s="176"/>
    </row>
    <row r="33" spans="1:6" x14ac:dyDescent="0.25">
      <c r="A33" s="176"/>
      <c r="B33" s="176"/>
      <c r="C33" s="176"/>
      <c r="D33" s="176"/>
      <c r="E33" s="176"/>
      <c r="F33" s="176"/>
    </row>
    <row r="34" spans="1:6" x14ac:dyDescent="0.25">
      <c r="A34" s="176"/>
      <c r="B34" s="176"/>
      <c r="C34" s="176"/>
      <c r="D34" s="176"/>
      <c r="E34" s="176"/>
      <c r="F34" s="176"/>
    </row>
    <row r="35" spans="1:6" x14ac:dyDescent="0.25">
      <c r="A35" s="176"/>
      <c r="B35" s="176"/>
      <c r="C35" s="176"/>
      <c r="D35" s="176"/>
      <c r="E35" s="176"/>
      <c r="F35" s="176"/>
    </row>
    <row r="43" spans="1:6" ht="67.5" x14ac:dyDescent="0.25">
      <c r="A43" s="224" t="s">
        <v>21</v>
      </c>
      <c r="B43" s="224" t="s">
        <v>22</v>
      </c>
      <c r="C43" s="13" t="s">
        <v>23</v>
      </c>
      <c r="D43" s="13" t="s">
        <v>24</v>
      </c>
      <c r="E43" s="13" t="s">
        <v>25</v>
      </c>
      <c r="F43" s="224" t="s">
        <v>26</v>
      </c>
    </row>
    <row r="44" spans="1:6" x14ac:dyDescent="0.25">
      <c r="A44" s="224"/>
      <c r="B44" s="224"/>
      <c r="C44" s="14" t="s">
        <v>27</v>
      </c>
      <c r="D44" s="14" t="s">
        <v>28</v>
      </c>
      <c r="E44" s="14" t="s">
        <v>29</v>
      </c>
      <c r="F44" s="224"/>
    </row>
    <row r="45" spans="1:6" x14ac:dyDescent="0.25">
      <c r="A45" s="15"/>
      <c r="B45" s="224" t="s">
        <v>30</v>
      </c>
      <c r="C45" s="224"/>
      <c r="D45" s="224"/>
      <c r="E45" s="224"/>
      <c r="F45" s="224"/>
    </row>
    <row r="46" spans="1:6" ht="22.5" x14ac:dyDescent="0.25">
      <c r="A46" s="16" t="s">
        <v>345</v>
      </c>
      <c r="B46" s="91">
        <v>3811.15</v>
      </c>
      <c r="C46" s="88">
        <f>[1]!Tabela12[[#Totals],[Valores2]]</f>
        <v>0</v>
      </c>
      <c r="D46" s="88">
        <v>27973.82</v>
      </c>
      <c r="E46" s="88">
        <f>C46+D46</f>
        <v>27973.82</v>
      </c>
      <c r="F46" s="91">
        <v>4490.24</v>
      </c>
    </row>
    <row r="47" spans="1:6" ht="22.5" x14ac:dyDescent="0.25">
      <c r="A47" s="16" t="s">
        <v>346</v>
      </c>
      <c r="B47" s="90">
        <f>[1]!Tabela1216[[#Totals],[Valores]]</f>
        <v>0</v>
      </c>
      <c r="C47" s="90">
        <f>[1]!Tabela1216[[#Totals],[Valores2]]</f>
        <v>0</v>
      </c>
      <c r="D47" s="90">
        <v>5259</v>
      </c>
      <c r="E47" s="90">
        <v>5259</v>
      </c>
      <c r="F47" s="88">
        <v>0</v>
      </c>
    </row>
    <row r="48" spans="1:6" x14ac:dyDescent="0.25">
      <c r="A48" s="16" t="s">
        <v>33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</row>
    <row r="49" spans="1:6" ht="22.5" x14ac:dyDescent="0.25">
      <c r="A49" s="16" t="s">
        <v>34</v>
      </c>
      <c r="B49" s="88">
        <v>0</v>
      </c>
      <c r="C49" s="88">
        <v>0</v>
      </c>
      <c r="D49" s="88">
        <v>0</v>
      </c>
      <c r="E49" s="88">
        <f t="shared" ref="E49:E62" si="1">C49+D49</f>
        <v>0</v>
      </c>
      <c r="F49" s="88">
        <v>0</v>
      </c>
    </row>
    <row r="50" spans="1:6" ht="22.5" x14ac:dyDescent="0.25">
      <c r="A50" s="16" t="s">
        <v>35</v>
      </c>
      <c r="B50" s="88">
        <v>0</v>
      </c>
      <c r="C50" s="88">
        <v>0</v>
      </c>
      <c r="D50" s="88">
        <v>0</v>
      </c>
      <c r="E50" s="88">
        <f t="shared" si="1"/>
        <v>0</v>
      </c>
      <c r="F50" s="88">
        <v>0</v>
      </c>
    </row>
    <row r="51" spans="1:6" ht="22.5" x14ac:dyDescent="0.25">
      <c r="A51" s="16" t="s">
        <v>36</v>
      </c>
      <c r="B51" s="88">
        <v>0</v>
      </c>
      <c r="C51" s="88">
        <v>0</v>
      </c>
      <c r="D51" s="88">
        <v>0</v>
      </c>
      <c r="E51" s="88">
        <f t="shared" si="1"/>
        <v>0</v>
      </c>
      <c r="F51" s="88">
        <v>0</v>
      </c>
    </row>
    <row r="52" spans="1:6" ht="22.5" x14ac:dyDescent="0.25">
      <c r="A52" s="16" t="s">
        <v>37</v>
      </c>
      <c r="B52" s="88">
        <v>0</v>
      </c>
      <c r="C52" s="88">
        <v>0</v>
      </c>
      <c r="D52" s="88">
        <v>0</v>
      </c>
      <c r="E52" s="88">
        <f t="shared" si="1"/>
        <v>0</v>
      </c>
      <c r="F52" s="88">
        <v>0</v>
      </c>
    </row>
    <row r="53" spans="1:6" ht="22.5" x14ac:dyDescent="0.25">
      <c r="A53" s="16" t="s">
        <v>38</v>
      </c>
      <c r="B53" s="88">
        <v>2850</v>
      </c>
      <c r="C53" s="88">
        <f>[1]OUT!C136</f>
        <v>0</v>
      </c>
      <c r="D53" s="88">
        <v>2850</v>
      </c>
      <c r="E53" s="88">
        <f>SUM(C53:D53)</f>
        <v>2850</v>
      </c>
      <c r="F53" s="88">
        <v>0</v>
      </c>
    </row>
    <row r="54" spans="1:6" x14ac:dyDescent="0.25">
      <c r="A54" s="16" t="s">
        <v>39</v>
      </c>
      <c r="B54" s="88">
        <v>0</v>
      </c>
      <c r="C54" s="88">
        <v>0</v>
      </c>
      <c r="D54" s="88">
        <v>0</v>
      </c>
      <c r="E54" s="88">
        <f t="shared" si="1"/>
        <v>0</v>
      </c>
      <c r="F54" s="88">
        <v>0</v>
      </c>
    </row>
    <row r="55" spans="1:6" x14ac:dyDescent="0.25">
      <c r="A55" s="16" t="s">
        <v>40</v>
      </c>
      <c r="B55" s="88">
        <v>0</v>
      </c>
      <c r="C55" s="88">
        <v>0</v>
      </c>
      <c r="D55" s="88">
        <v>0</v>
      </c>
      <c r="E55" s="88">
        <f t="shared" si="1"/>
        <v>0</v>
      </c>
      <c r="F55" s="88">
        <v>0</v>
      </c>
    </row>
    <row r="56" spans="1:6" ht="22.5" x14ac:dyDescent="0.25">
      <c r="A56" s="16" t="s">
        <v>41</v>
      </c>
      <c r="B56" s="88">
        <v>0</v>
      </c>
      <c r="C56" s="88">
        <v>0</v>
      </c>
      <c r="D56" s="88">
        <v>0</v>
      </c>
      <c r="E56" s="88">
        <f t="shared" si="1"/>
        <v>0</v>
      </c>
      <c r="F56" s="88">
        <v>0</v>
      </c>
    </row>
    <row r="57" spans="1:6" x14ac:dyDescent="0.25">
      <c r="A57" s="16" t="s">
        <v>42</v>
      </c>
      <c r="B57" s="88">
        <v>0</v>
      </c>
      <c r="C57" s="88">
        <v>0</v>
      </c>
      <c r="D57" s="88">
        <v>0</v>
      </c>
      <c r="E57" s="88">
        <f t="shared" si="1"/>
        <v>0</v>
      </c>
      <c r="F57" s="88">
        <v>0</v>
      </c>
    </row>
    <row r="58" spans="1:6" ht="22.5" x14ac:dyDescent="0.25">
      <c r="A58" s="16" t="s">
        <v>43</v>
      </c>
      <c r="B58" s="88">
        <v>0</v>
      </c>
      <c r="C58" s="88">
        <v>0</v>
      </c>
      <c r="D58" s="88">
        <v>0</v>
      </c>
      <c r="E58" s="88">
        <f t="shared" si="1"/>
        <v>0</v>
      </c>
      <c r="F58" s="88">
        <v>0</v>
      </c>
    </row>
    <row r="59" spans="1:6" x14ac:dyDescent="0.25">
      <c r="A59" s="16" t="s">
        <v>44</v>
      </c>
      <c r="B59" s="88">
        <v>0</v>
      </c>
      <c r="C59" s="88">
        <v>0</v>
      </c>
      <c r="D59" s="88">
        <v>0</v>
      </c>
      <c r="E59" s="88">
        <f t="shared" si="1"/>
        <v>0</v>
      </c>
      <c r="F59" s="88">
        <v>0</v>
      </c>
    </row>
    <row r="60" spans="1:6" ht="33.75" x14ac:dyDescent="0.25">
      <c r="A60" s="16" t="s">
        <v>45</v>
      </c>
      <c r="B60" s="89">
        <v>52.26</v>
      </c>
      <c r="C60" s="88">
        <f>[1]!Tabela1214[[#Totals],[Valores2]]</f>
        <v>0</v>
      </c>
      <c r="D60" s="89">
        <v>52.26</v>
      </c>
      <c r="E60" s="89">
        <v>52.26</v>
      </c>
      <c r="F60" s="89">
        <v>0</v>
      </c>
    </row>
    <row r="61" spans="1:6" x14ac:dyDescent="0.25">
      <c r="A61" s="16" t="s">
        <v>46</v>
      </c>
      <c r="B61" s="88">
        <v>0</v>
      </c>
      <c r="C61" s="88">
        <v>0</v>
      </c>
      <c r="D61" s="88">
        <v>0</v>
      </c>
      <c r="E61" s="88">
        <f t="shared" si="1"/>
        <v>0</v>
      </c>
      <c r="F61" s="88">
        <v>0</v>
      </c>
    </row>
    <row r="62" spans="1:6" x14ac:dyDescent="0.25">
      <c r="A62" s="17" t="s">
        <v>47</v>
      </c>
      <c r="B62" s="89">
        <f>SUM(B46:B61)</f>
        <v>6713.41</v>
      </c>
      <c r="C62" s="88">
        <f>SUM(C46:C61)</f>
        <v>0</v>
      </c>
      <c r="D62" s="89">
        <f>SUM(D46:D61)</f>
        <v>36135.08</v>
      </c>
      <c r="E62" s="89">
        <f t="shared" si="1"/>
        <v>36135.08</v>
      </c>
      <c r="F62" s="89">
        <f>SUM(F46:F61)</f>
        <v>4490.24</v>
      </c>
    </row>
    <row r="63" spans="1:6" ht="112.5" customHeight="1" x14ac:dyDescent="0.25">
      <c r="A63" s="225" t="s">
        <v>48</v>
      </c>
      <c r="B63" s="226"/>
      <c r="C63" s="226"/>
      <c r="D63" s="226"/>
      <c r="E63" s="226"/>
      <c r="F63" s="226"/>
    </row>
    <row r="64" spans="1:6" x14ac:dyDescent="0.25">
      <c r="A64" s="224" t="s">
        <v>49</v>
      </c>
      <c r="B64" s="224"/>
      <c r="C64" s="224"/>
      <c r="D64" s="224"/>
      <c r="E64" s="224"/>
      <c r="F64" s="224"/>
    </row>
    <row r="65" spans="1:6" x14ac:dyDescent="0.25">
      <c r="A65" s="219" t="s">
        <v>50</v>
      </c>
      <c r="B65" s="219"/>
      <c r="C65" s="219"/>
      <c r="D65" s="219"/>
      <c r="E65" s="220">
        <f>E29</f>
        <v>76600.62</v>
      </c>
      <c r="F65" s="220"/>
    </row>
    <row r="66" spans="1:6" x14ac:dyDescent="0.25">
      <c r="A66" s="219" t="s">
        <v>51</v>
      </c>
      <c r="B66" s="219"/>
      <c r="C66" s="219"/>
      <c r="D66" s="219"/>
      <c r="E66" s="220">
        <f>C62+D62</f>
        <v>36135.08</v>
      </c>
      <c r="F66" s="220"/>
    </row>
    <row r="67" spans="1:6" x14ac:dyDescent="0.25">
      <c r="A67" s="219" t="s">
        <v>52</v>
      </c>
      <c r="B67" s="219"/>
      <c r="C67" s="219"/>
      <c r="D67" s="219"/>
      <c r="E67" s="220">
        <f>E65-E66</f>
        <v>40465.539999999994</v>
      </c>
      <c r="F67" s="220"/>
    </row>
    <row r="68" spans="1:6" x14ac:dyDescent="0.25">
      <c r="A68" s="219" t="s">
        <v>53</v>
      </c>
      <c r="B68" s="219"/>
      <c r="C68" s="219"/>
      <c r="D68" s="219"/>
      <c r="E68" s="254">
        <v>0</v>
      </c>
      <c r="F68" s="254"/>
    </row>
    <row r="69" spans="1:6" ht="14.45" customHeight="1" x14ac:dyDescent="0.25">
      <c r="A69" s="219" t="s">
        <v>54</v>
      </c>
      <c r="B69" s="219"/>
      <c r="C69" s="219"/>
      <c r="D69" s="219"/>
      <c r="E69" s="220">
        <f>E67</f>
        <v>40465.539999999994</v>
      </c>
      <c r="F69" s="220"/>
    </row>
    <row r="70" spans="1:6" x14ac:dyDescent="0.25">
      <c r="A70" s="300" t="s">
        <v>55</v>
      </c>
      <c r="B70" s="300"/>
      <c r="C70" s="300"/>
      <c r="D70" s="300"/>
      <c r="E70" s="300"/>
      <c r="F70" s="300"/>
    </row>
    <row r="71" spans="1:6" ht="14.45" customHeight="1" x14ac:dyDescent="0.25">
      <c r="A71" s="301"/>
      <c r="B71" s="301"/>
      <c r="C71" s="301"/>
      <c r="D71" s="301"/>
      <c r="E71" s="301"/>
      <c r="F71" s="301"/>
    </row>
    <row r="72" spans="1:6" x14ac:dyDescent="0.25">
      <c r="A72" s="301"/>
      <c r="B72" s="301"/>
      <c r="C72" s="301"/>
      <c r="D72" s="301"/>
      <c r="E72" s="301"/>
      <c r="F72" s="301"/>
    </row>
    <row r="74" spans="1:6" x14ac:dyDescent="0.25">
      <c r="A74" s="243" t="s">
        <v>347</v>
      </c>
      <c r="B74" s="243"/>
      <c r="C74" s="243"/>
      <c r="D74" s="243"/>
      <c r="E74" s="243"/>
      <c r="F74" s="243"/>
    </row>
    <row r="75" spans="1:6" x14ac:dyDescent="0.25">
      <c r="A75" s="210"/>
      <c r="B75" s="210"/>
      <c r="C75" s="210"/>
      <c r="D75" s="210"/>
      <c r="E75" s="210"/>
      <c r="F75" s="210"/>
    </row>
    <row r="77" spans="1:6" x14ac:dyDescent="0.25">
      <c r="A77" s="164" t="s">
        <v>56</v>
      </c>
      <c r="B77" s="164"/>
      <c r="C77" s="164"/>
      <c r="D77" s="164"/>
      <c r="E77" s="164"/>
      <c r="F77" s="20"/>
    </row>
  </sheetData>
  <mergeCells count="37">
    <mergeCell ref="A70:F72"/>
    <mergeCell ref="A74:F74"/>
    <mergeCell ref="A67:D67"/>
    <mergeCell ref="E67:F67"/>
    <mergeCell ref="A68:D68"/>
    <mergeCell ref="E68:F68"/>
    <mergeCell ref="A69:D69"/>
    <mergeCell ref="E69:F69"/>
    <mergeCell ref="A63:F63"/>
    <mergeCell ref="A64:F64"/>
    <mergeCell ref="A65:D65"/>
    <mergeCell ref="E65:F65"/>
    <mergeCell ref="A66:D66"/>
    <mergeCell ref="E66:F66"/>
    <mergeCell ref="A26:D26"/>
    <mergeCell ref="A27:E27"/>
    <mergeCell ref="A28:D28"/>
    <mergeCell ref="A29:D29"/>
    <mergeCell ref="A30:F30"/>
    <mergeCell ref="A43:A44"/>
    <mergeCell ref="B43:B44"/>
    <mergeCell ref="F43:F44"/>
    <mergeCell ref="B45:F45"/>
    <mergeCell ref="A22:D22"/>
    <mergeCell ref="A23:D23"/>
    <mergeCell ref="A24:D24"/>
    <mergeCell ref="A25:D25"/>
    <mergeCell ref="A14:B14"/>
    <mergeCell ref="A15:B15"/>
    <mergeCell ref="A16:B16"/>
    <mergeCell ref="A18:E18"/>
    <mergeCell ref="A7:D7"/>
    <mergeCell ref="E7:F7"/>
    <mergeCell ref="A9:F9"/>
    <mergeCell ref="A10:F10"/>
    <mergeCell ref="A11:F11"/>
    <mergeCell ref="A13:B13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F127"/>
  <sheetViews>
    <sheetView topLeftCell="A65" workbookViewId="0">
      <selection activeCell="B127" sqref="B127"/>
    </sheetView>
  </sheetViews>
  <sheetFormatPr defaultRowHeight="15" x14ac:dyDescent="0.25"/>
  <cols>
    <col min="1" max="1" width="10.85546875" customWidth="1"/>
    <col min="2" max="2" width="14.42578125" customWidth="1"/>
    <col min="3" max="3" width="10.7109375" customWidth="1"/>
    <col min="4" max="4" width="11.140625" customWidth="1"/>
    <col min="5" max="6" width="12.7109375" customWidth="1"/>
  </cols>
  <sheetData>
    <row r="3" spans="1:5" x14ac:dyDescent="0.25">
      <c r="A3" s="270" t="s">
        <v>14</v>
      </c>
      <c r="B3" s="270"/>
      <c r="C3" s="270"/>
      <c r="D3" s="270"/>
    </row>
    <row r="4" spans="1:5" x14ac:dyDescent="0.25">
      <c r="A4" s="270"/>
      <c r="B4" s="270"/>
      <c r="C4" s="270"/>
      <c r="D4" s="270"/>
    </row>
    <row r="5" spans="1:5" x14ac:dyDescent="0.25">
      <c r="A5" s="270"/>
      <c r="B5" s="270"/>
      <c r="C5" s="270"/>
      <c r="D5" s="270"/>
    </row>
    <row r="6" spans="1:5" x14ac:dyDescent="0.25">
      <c r="A6" s="270"/>
      <c r="B6" s="270"/>
      <c r="C6" s="270"/>
      <c r="D6" s="270"/>
    </row>
    <row r="7" spans="1:5" ht="14.45" customHeight="1" x14ac:dyDescent="0.25">
      <c r="A7" s="270"/>
      <c r="B7" s="270"/>
      <c r="C7" s="270"/>
      <c r="D7" s="270"/>
    </row>
    <row r="8" spans="1:5" x14ac:dyDescent="0.25">
      <c r="A8" s="171" t="s">
        <v>324</v>
      </c>
      <c r="B8" s="172" t="s">
        <v>325</v>
      </c>
      <c r="C8" s="182"/>
      <c r="E8" s="183"/>
    </row>
    <row r="9" spans="1:5" hidden="1" x14ac:dyDescent="0.25">
      <c r="A9" s="169">
        <v>44197</v>
      </c>
      <c r="B9" s="170">
        <v>63000</v>
      </c>
      <c r="C9" s="182"/>
      <c r="E9" s="183"/>
    </row>
    <row r="10" spans="1:5" hidden="1" x14ac:dyDescent="0.25">
      <c r="A10" s="169">
        <v>44228</v>
      </c>
      <c r="B10" s="170">
        <v>73471.12</v>
      </c>
      <c r="C10" s="182"/>
      <c r="E10" s="183"/>
    </row>
    <row r="11" spans="1:5" hidden="1" x14ac:dyDescent="0.25">
      <c r="A11" s="169">
        <v>44256</v>
      </c>
      <c r="B11" s="170">
        <v>80926.78</v>
      </c>
      <c r="C11" s="182"/>
      <c r="E11" s="183"/>
    </row>
    <row r="12" spans="1:5" hidden="1" x14ac:dyDescent="0.25">
      <c r="A12" s="169">
        <v>44287</v>
      </c>
      <c r="B12" s="170">
        <v>82440.58</v>
      </c>
      <c r="C12" s="182"/>
      <c r="E12" s="183"/>
    </row>
    <row r="13" spans="1:5" hidden="1" x14ac:dyDescent="0.25">
      <c r="A13" s="169">
        <v>44317</v>
      </c>
      <c r="B13" s="170">
        <v>91124.97</v>
      </c>
      <c r="C13" s="182"/>
      <c r="E13" s="183"/>
    </row>
    <row r="14" spans="1:5" hidden="1" x14ac:dyDescent="0.25">
      <c r="A14" s="169">
        <v>44348</v>
      </c>
      <c r="B14" s="170">
        <v>95890.38</v>
      </c>
      <c r="C14" s="182"/>
      <c r="E14" s="183"/>
    </row>
    <row r="15" spans="1:5" hidden="1" x14ac:dyDescent="0.25">
      <c r="A15" s="169">
        <v>44378</v>
      </c>
      <c r="B15" s="170">
        <v>92923.64</v>
      </c>
      <c r="C15" s="182"/>
      <c r="E15" s="183"/>
    </row>
    <row r="16" spans="1:5" hidden="1" x14ac:dyDescent="0.25">
      <c r="A16" s="169">
        <v>44409</v>
      </c>
      <c r="B16" s="170">
        <v>109897.8</v>
      </c>
      <c r="C16" s="182"/>
      <c r="E16" s="183"/>
    </row>
    <row r="17" spans="1:5" hidden="1" x14ac:dyDescent="0.25">
      <c r="A17" s="169">
        <v>44440</v>
      </c>
      <c r="B17" s="170">
        <v>73813.89</v>
      </c>
      <c r="C17" s="182"/>
      <c r="E17" s="183"/>
    </row>
    <row r="18" spans="1:5" hidden="1" x14ac:dyDescent="0.25">
      <c r="A18" s="169">
        <v>44470</v>
      </c>
      <c r="B18" s="170">
        <v>86786.66</v>
      </c>
      <c r="C18" s="182"/>
      <c r="E18" s="183"/>
    </row>
    <row r="19" spans="1:5" hidden="1" x14ac:dyDescent="0.25">
      <c r="A19" s="169">
        <v>44501</v>
      </c>
      <c r="B19" s="170">
        <v>64095.35</v>
      </c>
      <c r="C19" s="182"/>
      <c r="E19" s="183"/>
    </row>
    <row r="20" spans="1:5" hidden="1" x14ac:dyDescent="0.25">
      <c r="A20" s="169">
        <v>44531</v>
      </c>
      <c r="B20" s="170"/>
      <c r="C20" s="182"/>
      <c r="E20" s="183"/>
    </row>
    <row r="21" spans="1:5" hidden="1" x14ac:dyDescent="0.25">
      <c r="A21" s="175" t="s">
        <v>326</v>
      </c>
      <c r="B21" s="170">
        <v>-914371.17</v>
      </c>
      <c r="C21" s="182"/>
      <c r="E21" s="183"/>
    </row>
    <row r="22" spans="1:5" hidden="1" x14ac:dyDescent="0.25">
      <c r="A22" s="175">
        <v>44562</v>
      </c>
      <c r="B22" s="170">
        <v>26763.15</v>
      </c>
      <c r="C22" s="182"/>
      <c r="E22" s="183"/>
    </row>
    <row r="23" spans="1:5" hidden="1" x14ac:dyDescent="0.25">
      <c r="A23" s="175">
        <v>44593</v>
      </c>
      <c r="B23" s="170">
        <v>39865.67</v>
      </c>
      <c r="C23" s="182"/>
      <c r="E23" s="183"/>
    </row>
    <row r="24" spans="1:5" hidden="1" x14ac:dyDescent="0.25">
      <c r="A24" s="175">
        <v>44621</v>
      </c>
      <c r="B24" s="170">
        <v>50949.68</v>
      </c>
      <c r="C24" s="182"/>
      <c r="E24" s="183"/>
    </row>
    <row r="25" spans="1:5" hidden="1" x14ac:dyDescent="0.25">
      <c r="A25" s="175">
        <v>44652</v>
      </c>
      <c r="B25" s="170">
        <v>61786.16</v>
      </c>
      <c r="C25" s="182"/>
      <c r="E25" s="183"/>
    </row>
    <row r="26" spans="1:5" hidden="1" x14ac:dyDescent="0.25">
      <c r="A26" s="175">
        <v>44682</v>
      </c>
      <c r="B26" s="170">
        <v>77861.77</v>
      </c>
      <c r="C26" s="182"/>
      <c r="E26" s="183"/>
    </row>
    <row r="27" spans="1:5" hidden="1" x14ac:dyDescent="0.25">
      <c r="A27" s="175">
        <v>44713</v>
      </c>
      <c r="B27" s="170">
        <v>75482.11</v>
      </c>
      <c r="C27" s="182"/>
      <c r="E27" s="183"/>
    </row>
    <row r="28" spans="1:5" hidden="1" x14ac:dyDescent="0.25">
      <c r="A28" s="175">
        <v>44774</v>
      </c>
      <c r="B28" s="170">
        <v>93198.69</v>
      </c>
      <c r="C28" s="182"/>
      <c r="E28" s="183"/>
    </row>
    <row r="29" spans="1:5" hidden="1" x14ac:dyDescent="0.25">
      <c r="A29" s="175">
        <v>44805</v>
      </c>
      <c r="B29" s="170">
        <v>144359.97</v>
      </c>
      <c r="C29" s="182"/>
      <c r="E29" s="183"/>
    </row>
    <row r="30" spans="1:5" hidden="1" x14ac:dyDescent="0.25">
      <c r="A30" s="175">
        <v>44835</v>
      </c>
      <c r="B30" s="170">
        <v>126313.96</v>
      </c>
      <c r="C30" s="182"/>
      <c r="E30" s="183"/>
    </row>
    <row r="31" spans="1:5" x14ac:dyDescent="0.25">
      <c r="A31" s="175">
        <v>44866</v>
      </c>
      <c r="B31" s="170">
        <v>130157.3</v>
      </c>
      <c r="C31" s="182"/>
      <c r="E31" s="183"/>
    </row>
    <row r="32" spans="1:5" x14ac:dyDescent="0.25">
      <c r="A32" s="173"/>
      <c r="B32" s="170">
        <f>SUBTOTAL(109,B9:B31)</f>
        <v>130157.3</v>
      </c>
      <c r="C32" s="182"/>
      <c r="E32" s="183"/>
    </row>
    <row r="33" spans="1:5" x14ac:dyDescent="0.25">
      <c r="A33" s="184"/>
      <c r="B33" s="180"/>
      <c r="C33" s="182"/>
      <c r="E33" s="183"/>
    </row>
    <row r="34" spans="1:5" x14ac:dyDescent="0.25">
      <c r="A34" s="184"/>
      <c r="B34" s="180"/>
      <c r="C34" s="182"/>
      <c r="E34" s="183"/>
    </row>
    <row r="35" spans="1:5" ht="14.45" customHeight="1" x14ac:dyDescent="0.25">
      <c r="A35" s="271" t="s">
        <v>16</v>
      </c>
      <c r="B35" s="272"/>
      <c r="C35" s="272"/>
      <c r="D35" s="272"/>
      <c r="E35" s="272"/>
    </row>
    <row r="36" spans="1:5" x14ac:dyDescent="0.25">
      <c r="A36" s="271"/>
      <c r="B36" s="272"/>
      <c r="C36" s="272"/>
      <c r="D36" s="272"/>
      <c r="E36" s="272"/>
    </row>
    <row r="37" spans="1:5" x14ac:dyDescent="0.25">
      <c r="A37" s="271"/>
      <c r="B37" s="272"/>
      <c r="C37" s="272"/>
      <c r="D37" s="272"/>
      <c r="E37" s="272"/>
    </row>
    <row r="38" spans="1:5" x14ac:dyDescent="0.25">
      <c r="A38" s="271"/>
      <c r="B38" s="272"/>
      <c r="C38" s="272"/>
      <c r="D38" s="272"/>
      <c r="E38" s="272"/>
    </row>
    <row r="39" spans="1:5" x14ac:dyDescent="0.25">
      <c r="A39" s="273"/>
      <c r="B39" s="274"/>
      <c r="C39" s="274"/>
      <c r="D39" s="274"/>
      <c r="E39" s="274"/>
    </row>
    <row r="40" spans="1:5" x14ac:dyDescent="0.25">
      <c r="A40" s="171" t="s">
        <v>324</v>
      </c>
      <c r="B40" s="172" t="s">
        <v>325</v>
      </c>
      <c r="C40" s="166"/>
      <c r="D40" s="166"/>
      <c r="E40" s="168" t="e">
        <f>#REF!</f>
        <v>#REF!</v>
      </c>
    </row>
    <row r="41" spans="1:5" hidden="1" x14ac:dyDescent="0.25">
      <c r="A41" s="169">
        <v>44228</v>
      </c>
      <c r="B41" s="170">
        <v>4.1500000000000004</v>
      </c>
      <c r="C41" s="167"/>
      <c r="D41" s="166"/>
      <c r="E41" s="168" t="e">
        <f>#REF!</f>
        <v>#REF!</v>
      </c>
    </row>
    <row r="42" spans="1:5" hidden="1" x14ac:dyDescent="0.25">
      <c r="A42" s="169">
        <v>44256</v>
      </c>
      <c r="B42" s="170">
        <v>23.32</v>
      </c>
      <c r="C42" s="166"/>
      <c r="D42" s="166"/>
      <c r="E42" s="168" t="e">
        <f>#REF!</f>
        <v>#REF!</v>
      </c>
    </row>
    <row r="43" spans="1:5" hidden="1" x14ac:dyDescent="0.25">
      <c r="A43" s="169">
        <v>44287</v>
      </c>
      <c r="B43" s="170">
        <v>43.47</v>
      </c>
      <c r="C43" s="166"/>
      <c r="D43" s="166"/>
      <c r="E43" s="168" t="e">
        <f>#REF!</f>
        <v>#REF!</v>
      </c>
    </row>
    <row r="44" spans="1:5" hidden="1" x14ac:dyDescent="0.25">
      <c r="A44" s="169">
        <v>44317</v>
      </c>
      <c r="B44" s="170">
        <v>78.8</v>
      </c>
      <c r="C44" s="166"/>
      <c r="D44" s="166"/>
      <c r="E44" s="168" t="e">
        <f>#REF!</f>
        <v>#REF!</v>
      </c>
    </row>
    <row r="45" spans="1:5" hidden="1" x14ac:dyDescent="0.25">
      <c r="A45" s="169">
        <v>44348</v>
      </c>
      <c r="B45" s="170">
        <v>0</v>
      </c>
      <c r="C45" s="166"/>
      <c r="D45" s="166"/>
      <c r="E45" s="168" t="e">
        <f>#REF!</f>
        <v>#REF!</v>
      </c>
    </row>
    <row r="46" spans="1:5" hidden="1" x14ac:dyDescent="0.25">
      <c r="A46" s="169">
        <v>44378</v>
      </c>
      <c r="B46" s="170">
        <v>254.63</v>
      </c>
      <c r="C46" s="166"/>
      <c r="D46" s="166"/>
      <c r="E46" s="168" t="e">
        <f>#REF!</f>
        <v>#REF!</v>
      </c>
    </row>
    <row r="47" spans="1:5" hidden="1" x14ac:dyDescent="0.25">
      <c r="A47" s="169">
        <v>44409</v>
      </c>
      <c r="B47" s="170">
        <v>204.91</v>
      </c>
      <c r="C47" s="166"/>
      <c r="D47" s="166"/>
      <c r="E47" s="168" t="e">
        <f>#REF!</f>
        <v>#REF!</v>
      </c>
    </row>
    <row r="48" spans="1:5" hidden="1" x14ac:dyDescent="0.25">
      <c r="A48" s="169">
        <v>44440</v>
      </c>
      <c r="B48" s="170">
        <v>248.39</v>
      </c>
      <c r="C48" s="166"/>
      <c r="D48" s="166"/>
      <c r="E48" s="168" t="e">
        <f>#REF!</f>
        <v>#REF!</v>
      </c>
    </row>
    <row r="49" spans="1:5" hidden="1" x14ac:dyDescent="0.25">
      <c r="A49" s="169">
        <v>44470</v>
      </c>
      <c r="B49" s="170">
        <v>277.98</v>
      </c>
      <c r="C49" s="166"/>
      <c r="D49" s="166"/>
      <c r="E49" s="168" t="e">
        <f>#REF!</f>
        <v>#REF!</v>
      </c>
    </row>
    <row r="50" spans="1:5" hidden="1" x14ac:dyDescent="0.25">
      <c r="A50" s="169">
        <v>44501</v>
      </c>
      <c r="B50" s="170">
        <v>323.29000000000002</v>
      </c>
      <c r="C50" s="166"/>
      <c r="D50" s="166"/>
      <c r="E50" s="168" t="e">
        <f>#REF!</f>
        <v>#REF!</v>
      </c>
    </row>
    <row r="51" spans="1:5" hidden="1" x14ac:dyDescent="0.25">
      <c r="A51" s="169">
        <v>44531</v>
      </c>
      <c r="B51" s="170">
        <v>86.66</v>
      </c>
      <c r="C51" s="166"/>
      <c r="D51" s="166"/>
      <c r="E51" s="168" t="e">
        <f>#REF!</f>
        <v>#REF!</v>
      </c>
    </row>
    <row r="52" spans="1:5" hidden="1" x14ac:dyDescent="0.25">
      <c r="A52" s="175">
        <v>44562</v>
      </c>
      <c r="B52" s="170">
        <v>46.24</v>
      </c>
      <c r="C52" s="166"/>
      <c r="D52" s="166"/>
      <c r="E52" s="168"/>
    </row>
    <row r="53" spans="1:5" hidden="1" x14ac:dyDescent="0.25">
      <c r="A53" s="175">
        <v>44593</v>
      </c>
      <c r="B53" s="170">
        <v>206.87</v>
      </c>
      <c r="C53" s="166"/>
      <c r="D53" s="166"/>
      <c r="E53" s="168"/>
    </row>
    <row r="54" spans="1:5" hidden="1" x14ac:dyDescent="0.25">
      <c r="A54" s="175">
        <v>44621</v>
      </c>
      <c r="B54" s="170">
        <v>397.6</v>
      </c>
      <c r="C54" s="166"/>
      <c r="D54" s="166"/>
      <c r="E54" s="168"/>
    </row>
    <row r="55" spans="1:5" hidden="1" x14ac:dyDescent="0.25">
      <c r="A55" s="175">
        <v>44652</v>
      </c>
      <c r="B55" s="170">
        <v>448.43</v>
      </c>
      <c r="C55" s="166"/>
      <c r="D55" s="166"/>
      <c r="E55" s="168"/>
    </row>
    <row r="56" spans="1:5" hidden="1" x14ac:dyDescent="0.25">
      <c r="A56" s="175">
        <v>44682</v>
      </c>
      <c r="B56" s="170">
        <v>656.21</v>
      </c>
      <c r="C56" s="166"/>
      <c r="D56" s="166"/>
      <c r="E56" s="168"/>
    </row>
    <row r="57" spans="1:5" hidden="1" x14ac:dyDescent="0.25">
      <c r="A57" s="175">
        <v>44713</v>
      </c>
      <c r="B57" s="170">
        <v>747.53</v>
      </c>
      <c r="C57" s="166"/>
      <c r="D57" s="166"/>
      <c r="E57" s="168"/>
    </row>
    <row r="58" spans="1:5" hidden="1" x14ac:dyDescent="0.25">
      <c r="A58" s="175">
        <v>44743</v>
      </c>
      <c r="B58" s="170">
        <v>788.31</v>
      </c>
      <c r="C58" s="166"/>
      <c r="D58" s="166"/>
      <c r="E58" s="168"/>
    </row>
    <row r="59" spans="1:5" hidden="1" x14ac:dyDescent="0.25">
      <c r="A59" s="175">
        <v>44774</v>
      </c>
      <c r="B59" s="170">
        <v>1037.1300000000001</v>
      </c>
      <c r="C59" s="166"/>
      <c r="D59" s="166"/>
      <c r="E59" s="168"/>
    </row>
    <row r="60" spans="1:5" hidden="1" x14ac:dyDescent="0.25">
      <c r="A60" s="175">
        <v>44805</v>
      </c>
      <c r="B60" s="170">
        <v>1026.26</v>
      </c>
      <c r="C60" s="166"/>
      <c r="D60" s="166"/>
      <c r="E60" s="168"/>
    </row>
    <row r="61" spans="1:5" hidden="1" x14ac:dyDescent="0.25">
      <c r="A61" s="175">
        <v>44835</v>
      </c>
      <c r="B61" s="170">
        <v>856.4</v>
      </c>
      <c r="C61" s="166"/>
      <c r="D61" s="166"/>
      <c r="E61" s="168"/>
    </row>
    <row r="62" spans="1:5" x14ac:dyDescent="0.25">
      <c r="A62" s="175">
        <v>44866</v>
      </c>
      <c r="B62" s="170">
        <v>200.76</v>
      </c>
      <c r="C62" s="166"/>
      <c r="D62" s="166"/>
      <c r="E62" s="168"/>
    </row>
    <row r="63" spans="1:5" x14ac:dyDescent="0.25">
      <c r="A63" s="173"/>
      <c r="B63" s="170">
        <f>SUBTOTAL(109,B41:B62)</f>
        <v>200.76</v>
      </c>
      <c r="C63" s="166"/>
      <c r="D63" s="166"/>
      <c r="E63" s="168"/>
    </row>
    <row r="64" spans="1:5" x14ac:dyDescent="0.25">
      <c r="A64" s="175"/>
      <c r="B64" s="206">
        <f>SUBTOTAL(109,Tabela10[Valores])</f>
        <v>200.76</v>
      </c>
      <c r="C64" s="182"/>
      <c r="E64" s="183"/>
    </row>
    <row r="65" spans="1:6" x14ac:dyDescent="0.25">
      <c r="A65" s="184"/>
      <c r="B65" s="180"/>
      <c r="C65" s="182"/>
      <c r="E65" s="183"/>
    </row>
    <row r="66" spans="1:6" x14ac:dyDescent="0.25">
      <c r="A66" s="269" t="s">
        <v>332</v>
      </c>
      <c r="B66" s="269"/>
      <c r="C66" s="269"/>
      <c r="D66" s="269"/>
      <c r="E66" s="269"/>
      <c r="F66" s="269"/>
    </row>
    <row r="67" spans="1:6" x14ac:dyDescent="0.25">
      <c r="A67" s="269"/>
      <c r="B67" s="269"/>
      <c r="C67" s="269"/>
      <c r="D67" s="269"/>
      <c r="E67" s="269"/>
      <c r="F67" s="269"/>
    </row>
    <row r="68" spans="1:6" x14ac:dyDescent="0.25">
      <c r="A68" s="269"/>
      <c r="B68" s="269"/>
      <c r="C68" s="269"/>
      <c r="D68" s="269"/>
      <c r="E68" s="269"/>
      <c r="F68" s="269"/>
    </row>
    <row r="69" spans="1:6" ht="20.45" customHeight="1" x14ac:dyDescent="0.25">
      <c r="A69" s="269"/>
      <c r="B69" s="269"/>
      <c r="C69" s="269"/>
      <c r="D69" s="269"/>
      <c r="E69" s="269"/>
      <c r="F69" s="269"/>
    </row>
    <row r="70" spans="1:6" x14ac:dyDescent="0.25">
      <c r="A70" s="171" t="s">
        <v>248</v>
      </c>
      <c r="B70" s="177" t="s">
        <v>325</v>
      </c>
      <c r="C70" s="177" t="s">
        <v>327</v>
      </c>
      <c r="D70" s="177" t="s">
        <v>328</v>
      </c>
      <c r="E70" s="177" t="s">
        <v>329</v>
      </c>
      <c r="F70" s="172" t="s">
        <v>330</v>
      </c>
    </row>
    <row r="71" spans="1:6" hidden="1" x14ac:dyDescent="0.25">
      <c r="A71" s="197">
        <v>44197</v>
      </c>
      <c r="B71" s="190">
        <f>43429.23+3473.24</f>
        <v>46902.47</v>
      </c>
      <c r="C71" s="191">
        <v>0</v>
      </c>
      <c r="D71" s="191">
        <v>0</v>
      </c>
      <c r="E71" s="191">
        <f t="shared" ref="E71:E79" si="0">C71+D71</f>
        <v>0</v>
      </c>
      <c r="F71" s="190">
        <f>B71</f>
        <v>46902.47</v>
      </c>
    </row>
    <row r="72" spans="1:6" hidden="1" x14ac:dyDescent="0.25">
      <c r="A72" s="197">
        <v>44228</v>
      </c>
      <c r="B72" s="192">
        <v>54591.56</v>
      </c>
      <c r="C72" s="193">
        <f>31009+4678.94+707.5+3473.24+2139.12+3805.42+960.83</f>
        <v>46774.05</v>
      </c>
      <c r="D72" s="193">
        <f>4729.01+735.8+284.28</f>
        <v>5749.09</v>
      </c>
      <c r="E72" s="193">
        <f t="shared" si="0"/>
        <v>52523.14</v>
      </c>
      <c r="F72" s="192">
        <f>B72-419.05</f>
        <v>54172.509999999995</v>
      </c>
    </row>
    <row r="73" spans="1:6" hidden="1" x14ac:dyDescent="0.25">
      <c r="A73" s="197">
        <v>44256</v>
      </c>
      <c r="B73" s="192">
        <v>54804.71</v>
      </c>
      <c r="C73" s="193">
        <v>48317.68</v>
      </c>
      <c r="D73" s="193">
        <f>7249.98-44.51</f>
        <v>7205.4699999999993</v>
      </c>
      <c r="E73" s="193">
        <f t="shared" si="0"/>
        <v>55523.15</v>
      </c>
      <c r="F73" s="192">
        <f>36817+4059.07+4492.22+2361.3</f>
        <v>47729.590000000004</v>
      </c>
    </row>
    <row r="74" spans="1:6" hidden="1" x14ac:dyDescent="0.25">
      <c r="A74" s="197">
        <v>44287</v>
      </c>
      <c r="B74" s="192">
        <f>57188.75+3968.02</f>
        <v>61156.77</v>
      </c>
      <c r="C74" s="193">
        <v>47729.59</v>
      </c>
      <c r="D74" s="193">
        <f>13800.08-21.67</f>
        <v>13778.41</v>
      </c>
      <c r="E74" s="193">
        <f t="shared" si="0"/>
        <v>61508</v>
      </c>
      <c r="F74" s="192">
        <v>47499.65</v>
      </c>
    </row>
    <row r="75" spans="1:6" hidden="1" x14ac:dyDescent="0.25">
      <c r="A75" s="197">
        <v>44317</v>
      </c>
      <c r="B75" s="192">
        <v>54621.84</v>
      </c>
      <c r="C75" s="193">
        <v>47499.65</v>
      </c>
      <c r="D75" s="193">
        <f>6894.76-32.31</f>
        <v>6862.45</v>
      </c>
      <c r="E75" s="193">
        <f t="shared" si="0"/>
        <v>54362.1</v>
      </c>
      <c r="F75" s="192">
        <f>54161.68-879.49-4729.01-679.2</f>
        <v>47873.98</v>
      </c>
    </row>
    <row r="76" spans="1:6" hidden="1" x14ac:dyDescent="0.25">
      <c r="A76" s="197">
        <v>44348</v>
      </c>
      <c r="B76" s="192">
        <v>55248.73</v>
      </c>
      <c r="C76" s="193">
        <v>47873.98</v>
      </c>
      <c r="D76" s="193">
        <v>10294.91</v>
      </c>
      <c r="E76" s="193">
        <f t="shared" si="0"/>
        <v>58168.89</v>
      </c>
      <c r="F76" s="192">
        <v>46000.09</v>
      </c>
    </row>
    <row r="77" spans="1:6" hidden="1" x14ac:dyDescent="0.25">
      <c r="A77" s="197">
        <v>44378</v>
      </c>
      <c r="B77" s="192">
        <v>61001.27</v>
      </c>
      <c r="C77" s="193">
        <v>46152.27</v>
      </c>
      <c r="D77" s="193">
        <v>19958.419999999998</v>
      </c>
      <c r="E77" s="193">
        <f t="shared" si="0"/>
        <v>66110.69</v>
      </c>
      <c r="F77" s="192">
        <v>46000.09</v>
      </c>
    </row>
    <row r="78" spans="1:6" hidden="1" x14ac:dyDescent="0.25">
      <c r="A78" s="197">
        <v>44409</v>
      </c>
      <c r="B78" s="192">
        <v>57028.09</v>
      </c>
      <c r="C78" s="193">
        <v>39660.949999999997</v>
      </c>
      <c r="D78" s="193">
        <v>6470.61</v>
      </c>
      <c r="E78" s="193">
        <f t="shared" si="0"/>
        <v>46131.56</v>
      </c>
      <c r="F78" s="192">
        <v>46000.09</v>
      </c>
    </row>
    <row r="79" spans="1:6" hidden="1" x14ac:dyDescent="0.25">
      <c r="A79" s="197">
        <v>44440</v>
      </c>
      <c r="B79" s="192">
        <v>63076.55</v>
      </c>
      <c r="C79" s="193">
        <v>50461.46</v>
      </c>
      <c r="D79" s="193">
        <v>48728.15</v>
      </c>
      <c r="E79" s="193">
        <f t="shared" si="0"/>
        <v>99189.61</v>
      </c>
      <c r="F79" s="192">
        <v>46000.09</v>
      </c>
    </row>
    <row r="80" spans="1:6" hidden="1" x14ac:dyDescent="0.25">
      <c r="A80" s="197">
        <v>44470</v>
      </c>
      <c r="B80" s="192">
        <v>64918.8</v>
      </c>
      <c r="C80" s="193">
        <v>12409.48</v>
      </c>
      <c r="D80" s="193">
        <v>37786.17</v>
      </c>
      <c r="E80" s="193">
        <f t="shared" ref="E80" si="1">C80+D80</f>
        <v>50195.649999999994</v>
      </c>
      <c r="F80" s="192">
        <v>12426.47</v>
      </c>
    </row>
    <row r="81" spans="1:6" hidden="1" x14ac:dyDescent="0.25">
      <c r="A81" s="197">
        <v>44501</v>
      </c>
      <c r="B81" s="192">
        <f>25135+2010.22+57287.37</f>
        <v>84432.59</v>
      </c>
      <c r="C81" s="193">
        <v>15306.85</v>
      </c>
      <c r="D81" s="193">
        <f>70707.75-193.25</f>
        <v>70514.5</v>
      </c>
      <c r="E81" s="193">
        <f t="shared" ref="E81" si="2">C81+D81</f>
        <v>85821.35</v>
      </c>
      <c r="F81" s="192">
        <v>13938.24</v>
      </c>
    </row>
    <row r="82" spans="1:6" hidden="1" x14ac:dyDescent="0.25">
      <c r="A82" s="197">
        <v>44531</v>
      </c>
      <c r="B82" s="196">
        <f>25135+2010.22+57287.37</f>
        <v>84432.59</v>
      </c>
      <c r="C82" s="193">
        <v>13938.24</v>
      </c>
      <c r="D82" s="193">
        <v>91484.89</v>
      </c>
      <c r="E82" s="193">
        <f t="shared" ref="E82" si="3">C82+D82</f>
        <v>105423.13</v>
      </c>
      <c r="F82" s="192">
        <v>0</v>
      </c>
    </row>
    <row r="83" spans="1:6" hidden="1" x14ac:dyDescent="0.25">
      <c r="A83" s="198">
        <v>44562</v>
      </c>
      <c r="B83" s="199">
        <f>53348.13+4267.32</f>
        <v>57615.45</v>
      </c>
      <c r="C83" s="200">
        <v>0</v>
      </c>
      <c r="D83" s="200">
        <v>43283.09</v>
      </c>
      <c r="E83" s="200">
        <f>Tabela12[[#This Row],[Valores3]]+Tabela12[[#This Row],[Valores2]]</f>
        <v>43283.09</v>
      </c>
      <c r="F83" s="201">
        <f>4267.32+4901.14+2945.52</f>
        <v>12113.98</v>
      </c>
    </row>
    <row r="84" spans="1:6" hidden="1" x14ac:dyDescent="0.25">
      <c r="A84" s="198">
        <v>44593</v>
      </c>
      <c r="B84" s="199">
        <v>57726.07</v>
      </c>
      <c r="C84" s="200">
        <v>12113.98</v>
      </c>
      <c r="D84" s="200">
        <v>44834.02</v>
      </c>
      <c r="E84" s="200">
        <f>Tabela12[[#This Row],[Valores3]]+Tabela12[[#This Row],[Valores2]]</f>
        <v>56948</v>
      </c>
      <c r="F84" s="201">
        <v>12975.21</v>
      </c>
    </row>
    <row r="85" spans="1:6" hidden="1" x14ac:dyDescent="0.25">
      <c r="A85" s="198">
        <v>44621</v>
      </c>
      <c r="B85" s="199">
        <v>58477.05</v>
      </c>
      <c r="C85" s="200">
        <v>12975.21</v>
      </c>
      <c r="D85" s="200">
        <v>38086</v>
      </c>
      <c r="E85" s="200">
        <f>Tabela12[[#This Row],[Valores3]]+Tabela12[[#This Row],[Valores2]]</f>
        <v>51061.21</v>
      </c>
      <c r="F85" s="201">
        <v>12334.1</v>
      </c>
    </row>
    <row r="86" spans="1:6" hidden="1" x14ac:dyDescent="0.25">
      <c r="A86" s="198">
        <v>44652</v>
      </c>
      <c r="B86" s="199">
        <v>63560.34</v>
      </c>
      <c r="C86" s="200">
        <v>12334.1</v>
      </c>
      <c r="D86" s="200">
        <v>47088.92</v>
      </c>
      <c r="E86" s="200">
        <f>Tabela12[[#This Row],[Valores3]]+Tabela12[[#This Row],[Valores2]]</f>
        <v>59423.02</v>
      </c>
      <c r="F86" s="201">
        <v>11861.86</v>
      </c>
    </row>
    <row r="87" spans="1:6" hidden="1" x14ac:dyDescent="0.25">
      <c r="A87" s="198">
        <v>44682</v>
      </c>
      <c r="B87" s="199">
        <v>55008.47</v>
      </c>
      <c r="C87" s="200">
        <v>11978.46</v>
      </c>
      <c r="D87" s="200">
        <v>42367.21</v>
      </c>
      <c r="E87" s="200">
        <f>Tabela12[[#This Row],[Valores3]]+Tabela12[[#This Row],[Valores2]]</f>
        <v>54345.67</v>
      </c>
      <c r="F87" s="201">
        <f>11728.41+832.33</f>
        <v>12560.74</v>
      </c>
    </row>
    <row r="88" spans="1:6" hidden="1" x14ac:dyDescent="0.25">
      <c r="A88" s="198">
        <v>44713</v>
      </c>
      <c r="B88" s="199">
        <v>59204.91</v>
      </c>
      <c r="C88" s="200">
        <v>12560.74</v>
      </c>
      <c r="D88" s="200">
        <v>60326.85</v>
      </c>
      <c r="E88" s="200">
        <f>Tabela12[[#This Row],[Valores3]]+Tabela12[[#This Row],[Valores2]]</f>
        <v>72887.59</v>
      </c>
      <c r="F88" s="201">
        <v>12264.35</v>
      </c>
    </row>
    <row r="89" spans="1:6" hidden="1" x14ac:dyDescent="0.25">
      <c r="A89" s="198">
        <v>44743</v>
      </c>
      <c r="B89" s="199">
        <v>68834.27</v>
      </c>
      <c r="C89" s="200">
        <v>12264.35</v>
      </c>
      <c r="D89" s="200">
        <v>40611.53</v>
      </c>
      <c r="E89" s="200">
        <f>Tabela12[[#This Row],[Valores3]]+Tabela12[[#This Row],[Valores2]]</f>
        <v>52875.88</v>
      </c>
      <c r="F89" s="201">
        <v>14814.04</v>
      </c>
    </row>
    <row r="90" spans="1:6" hidden="1" x14ac:dyDescent="0.25">
      <c r="A90" s="198">
        <v>44774</v>
      </c>
      <c r="B90" s="199">
        <v>64300.17</v>
      </c>
      <c r="C90" s="200">
        <v>14814.04</v>
      </c>
      <c r="D90" s="200">
        <v>4920.78</v>
      </c>
      <c r="E90" s="200">
        <f>Tabela12[[#This Row],[Valores3]]+Tabela12[[#This Row],[Valores2]]</f>
        <v>19734.82</v>
      </c>
      <c r="F90" s="201">
        <v>14168.04</v>
      </c>
    </row>
    <row r="91" spans="1:6" hidden="1" x14ac:dyDescent="0.25">
      <c r="A91" s="198">
        <v>44805</v>
      </c>
      <c r="B91" s="199">
        <v>31455.58</v>
      </c>
      <c r="C91" s="200">
        <v>59379.28</v>
      </c>
      <c r="D91" s="200">
        <v>29322.91</v>
      </c>
      <c r="E91" s="200">
        <f>Tabela12[[#This Row],[Valores3]]+Tabela12[[#This Row],[Valores2]]</f>
        <v>88702.19</v>
      </c>
      <c r="F91" s="201">
        <v>57972.94</v>
      </c>
    </row>
    <row r="92" spans="1:6" hidden="1" x14ac:dyDescent="0.25">
      <c r="A92" s="198">
        <v>44835</v>
      </c>
      <c r="B92" s="199">
        <v>69004.679999999993</v>
      </c>
      <c r="C92" s="200">
        <v>61311.99</v>
      </c>
      <c r="D92" s="200">
        <v>5459.05</v>
      </c>
      <c r="E92" s="200">
        <f>Tabela12[[#This Row],[Valores3]]+Tabela12[[#This Row],[Valores2]]</f>
        <v>66771.039999999994</v>
      </c>
      <c r="F92" s="201">
        <f>37977+15939.61</f>
        <v>53916.61</v>
      </c>
    </row>
    <row r="93" spans="1:6" x14ac:dyDescent="0.25">
      <c r="A93" s="198">
        <v>44866</v>
      </c>
      <c r="B93" s="199">
        <f>56843.35+62823.37</f>
        <v>119666.72</v>
      </c>
      <c r="C93" s="200">
        <v>53916.61</v>
      </c>
      <c r="D93" s="200">
        <v>20193.16</v>
      </c>
      <c r="E93" s="200">
        <f>Tabela12[[#This Row],[Valores3]]+Tabela12[[#This Row],[Valores2]]</f>
        <v>74109.77</v>
      </c>
      <c r="F93" s="201">
        <f>35493+4652.92+5150.92+2246.11+2312.03+4874.9+4078.41</f>
        <v>58808.289999999994</v>
      </c>
    </row>
    <row r="94" spans="1:6" x14ac:dyDescent="0.25">
      <c r="A94" s="178" t="s">
        <v>331</v>
      </c>
      <c r="B94" s="179">
        <f>SUBTOTAL(109,Tabela12[Valores])</f>
        <v>119666.72</v>
      </c>
      <c r="C94" s="179">
        <f>SUBTOTAL(109,Tabela12[Valores2])</f>
        <v>53916.61</v>
      </c>
      <c r="D94" s="179">
        <f>SUBTOTAL(109,Tabela12[Valores3])</f>
        <v>20193.16</v>
      </c>
      <c r="E94" s="179">
        <f>SUBTOTAL(109,Tabela12[Valores4])</f>
        <v>74109.77</v>
      </c>
      <c r="F94" s="179">
        <f>SUBTOTAL(109,Tabela12[Valores5])</f>
        <v>58808.289999999994</v>
      </c>
    </row>
    <row r="98" spans="1:6" x14ac:dyDescent="0.25">
      <c r="A98" s="269" t="s">
        <v>45</v>
      </c>
      <c r="B98" s="269"/>
      <c r="C98" s="269"/>
      <c r="D98" s="269"/>
      <c r="E98" s="269"/>
      <c r="F98" s="269"/>
    </row>
    <row r="99" spans="1:6" x14ac:dyDescent="0.25">
      <c r="A99" s="269"/>
      <c r="B99" s="269"/>
      <c r="C99" s="269"/>
      <c r="D99" s="269"/>
      <c r="E99" s="269"/>
      <c r="F99" s="269"/>
    </row>
    <row r="100" spans="1:6" x14ac:dyDescent="0.25">
      <c r="A100" s="269"/>
      <c r="B100" s="269"/>
      <c r="C100" s="269"/>
      <c r="D100" s="269"/>
      <c r="E100" s="269"/>
      <c r="F100" s="269"/>
    </row>
    <row r="101" spans="1:6" x14ac:dyDescent="0.25">
      <c r="A101" s="269"/>
      <c r="B101" s="269"/>
      <c r="C101" s="269"/>
      <c r="D101" s="269"/>
      <c r="E101" s="269"/>
      <c r="F101" s="269"/>
    </row>
    <row r="102" spans="1:6" ht="30.6" customHeight="1" x14ac:dyDescent="0.25">
      <c r="A102" s="269"/>
      <c r="B102" s="269"/>
      <c r="C102" s="269"/>
      <c r="D102" s="269"/>
      <c r="E102" s="269"/>
      <c r="F102" s="269"/>
    </row>
    <row r="103" spans="1:6" x14ac:dyDescent="0.25">
      <c r="A103" s="171" t="s">
        <v>248</v>
      </c>
      <c r="B103" s="177" t="s">
        <v>325</v>
      </c>
      <c r="C103" s="177" t="s">
        <v>327</v>
      </c>
      <c r="D103" s="177" t="s">
        <v>328</v>
      </c>
      <c r="E103" s="177" t="s">
        <v>329</v>
      </c>
      <c r="F103" s="172" t="s">
        <v>330</v>
      </c>
    </row>
    <row r="104" spans="1:6" hidden="1" x14ac:dyDescent="0.25">
      <c r="A104" s="197">
        <v>44197</v>
      </c>
      <c r="B104" s="190">
        <v>16.670000000000002</v>
      </c>
      <c r="C104" s="191">
        <v>0</v>
      </c>
      <c r="D104" s="194">
        <f t="shared" ref="D104:D112" si="4">B104+C104</f>
        <v>16.670000000000002</v>
      </c>
      <c r="E104" s="191">
        <f t="shared" ref="E104:E112" si="5">C104+D104</f>
        <v>16.670000000000002</v>
      </c>
      <c r="F104" s="190">
        <v>0</v>
      </c>
    </row>
    <row r="105" spans="1:6" hidden="1" x14ac:dyDescent="0.25">
      <c r="A105" s="197">
        <v>44228</v>
      </c>
      <c r="B105" s="195">
        <v>9.89</v>
      </c>
      <c r="C105" s="193">
        <v>0</v>
      </c>
      <c r="D105" s="193">
        <f t="shared" si="4"/>
        <v>9.89</v>
      </c>
      <c r="E105" s="193">
        <f t="shared" si="5"/>
        <v>9.89</v>
      </c>
      <c r="F105" s="195">
        <v>0</v>
      </c>
    </row>
    <row r="106" spans="1:6" hidden="1" x14ac:dyDescent="0.25">
      <c r="A106" s="197">
        <v>44256</v>
      </c>
      <c r="B106" s="195">
        <v>44.51</v>
      </c>
      <c r="C106" s="193">
        <v>0</v>
      </c>
      <c r="D106" s="193">
        <f t="shared" si="4"/>
        <v>44.51</v>
      </c>
      <c r="E106" s="193">
        <f t="shared" si="5"/>
        <v>44.51</v>
      </c>
      <c r="F106" s="195">
        <v>0</v>
      </c>
    </row>
    <row r="107" spans="1:6" hidden="1" x14ac:dyDescent="0.25">
      <c r="A107" s="197">
        <v>44287</v>
      </c>
      <c r="B107" s="195">
        <v>21.67</v>
      </c>
      <c r="C107" s="193">
        <v>0</v>
      </c>
      <c r="D107" s="193">
        <f t="shared" si="4"/>
        <v>21.67</v>
      </c>
      <c r="E107" s="193">
        <f t="shared" si="5"/>
        <v>21.67</v>
      </c>
      <c r="F107" s="195">
        <v>0</v>
      </c>
    </row>
    <row r="108" spans="1:6" hidden="1" x14ac:dyDescent="0.25">
      <c r="A108" s="197">
        <v>44317</v>
      </c>
      <c r="B108" s="195">
        <v>32.31</v>
      </c>
      <c r="C108" s="193">
        <v>0</v>
      </c>
      <c r="D108" s="193">
        <f t="shared" si="4"/>
        <v>32.31</v>
      </c>
      <c r="E108" s="193">
        <f t="shared" si="5"/>
        <v>32.31</v>
      </c>
      <c r="F108" s="195">
        <v>0</v>
      </c>
    </row>
    <row r="109" spans="1:6" hidden="1" x14ac:dyDescent="0.25">
      <c r="A109" s="197">
        <v>44348</v>
      </c>
      <c r="B109" s="195">
        <v>65.7</v>
      </c>
      <c r="C109" s="193">
        <v>0</v>
      </c>
      <c r="D109" s="193">
        <f t="shared" si="4"/>
        <v>65.7</v>
      </c>
      <c r="E109" s="193">
        <f t="shared" si="5"/>
        <v>65.7</v>
      </c>
      <c r="F109" s="195">
        <v>0</v>
      </c>
    </row>
    <row r="110" spans="1:6" hidden="1" x14ac:dyDescent="0.25">
      <c r="A110" s="197">
        <v>44378</v>
      </c>
      <c r="B110" s="195">
        <v>110.68</v>
      </c>
      <c r="C110" s="193">
        <v>0</v>
      </c>
      <c r="D110" s="193">
        <f t="shared" si="4"/>
        <v>110.68</v>
      </c>
      <c r="E110" s="193">
        <f t="shared" si="5"/>
        <v>110.68</v>
      </c>
      <c r="F110" s="195">
        <v>0</v>
      </c>
    </row>
    <row r="111" spans="1:6" hidden="1" x14ac:dyDescent="0.25">
      <c r="A111" s="197">
        <v>44409</v>
      </c>
      <c r="B111" s="195">
        <v>99.19</v>
      </c>
      <c r="C111" s="193">
        <v>0</v>
      </c>
      <c r="D111" s="193">
        <f t="shared" si="4"/>
        <v>99.19</v>
      </c>
      <c r="E111" s="193">
        <f t="shared" si="5"/>
        <v>99.19</v>
      </c>
      <c r="F111" s="195">
        <v>0</v>
      </c>
    </row>
    <row r="112" spans="1:6" hidden="1" x14ac:dyDescent="0.25">
      <c r="A112" s="197">
        <v>44440</v>
      </c>
      <c r="B112" s="195">
        <v>142.69</v>
      </c>
      <c r="C112" s="193">
        <v>0</v>
      </c>
      <c r="D112" s="193">
        <f t="shared" si="4"/>
        <v>142.69</v>
      </c>
      <c r="E112" s="193">
        <f t="shared" si="5"/>
        <v>142.69</v>
      </c>
      <c r="F112" s="195">
        <v>0</v>
      </c>
    </row>
    <row r="113" spans="1:6" hidden="1" x14ac:dyDescent="0.25">
      <c r="A113" s="197">
        <v>44470</v>
      </c>
      <c r="B113" s="195">
        <v>109.56</v>
      </c>
      <c r="C113" s="193">
        <v>0</v>
      </c>
      <c r="D113" s="193">
        <f t="shared" ref="D113" si="6">B113+C113</f>
        <v>109.56</v>
      </c>
      <c r="E113" s="193">
        <f t="shared" ref="E113" si="7">C113+D113</f>
        <v>109.56</v>
      </c>
      <c r="F113" s="195">
        <v>0</v>
      </c>
    </row>
    <row r="114" spans="1:6" hidden="1" x14ac:dyDescent="0.25">
      <c r="A114" s="197">
        <v>44501</v>
      </c>
      <c r="B114" s="195">
        <v>193.25</v>
      </c>
      <c r="C114" s="193">
        <v>0</v>
      </c>
      <c r="D114" s="193">
        <f t="shared" ref="D114" si="8">B114+C114</f>
        <v>193.25</v>
      </c>
      <c r="E114" s="193">
        <f t="shared" ref="E114" si="9">C114+D114</f>
        <v>193.25</v>
      </c>
      <c r="F114" s="195">
        <v>0</v>
      </c>
    </row>
    <row r="115" spans="1:6" hidden="1" x14ac:dyDescent="0.25">
      <c r="A115" s="197">
        <v>44531</v>
      </c>
      <c r="B115" s="195">
        <v>145.59</v>
      </c>
      <c r="C115" s="193">
        <v>0</v>
      </c>
      <c r="D115" s="193">
        <f t="shared" ref="D115" si="10">B115+C115</f>
        <v>145.59</v>
      </c>
      <c r="E115" s="193">
        <f t="shared" ref="E115" si="11">C115+D115</f>
        <v>145.59</v>
      </c>
      <c r="F115" s="195">
        <v>0</v>
      </c>
    </row>
    <row r="116" spans="1:6" hidden="1" x14ac:dyDescent="0.25">
      <c r="A116" s="198">
        <v>44562</v>
      </c>
      <c r="B116" s="202"/>
      <c r="C116" s="200"/>
      <c r="D116" s="200"/>
      <c r="E116" s="200">
        <f t="shared" ref="E116:E121" si="12">C116+D116</f>
        <v>0</v>
      </c>
      <c r="F116" s="202"/>
    </row>
    <row r="117" spans="1:6" hidden="1" x14ac:dyDescent="0.25">
      <c r="A117" s="198">
        <v>44593</v>
      </c>
      <c r="B117" s="202">
        <v>156.35</v>
      </c>
      <c r="C117" s="200"/>
      <c r="D117" s="200">
        <f>Tabela1214[[#This Row],[Valores]]</f>
        <v>156.35</v>
      </c>
      <c r="E117" s="200">
        <f t="shared" si="12"/>
        <v>156.35</v>
      </c>
      <c r="F117" s="202"/>
    </row>
    <row r="118" spans="1:6" hidden="1" x14ac:dyDescent="0.25">
      <c r="A118" s="198">
        <v>44621</v>
      </c>
      <c r="B118" s="202">
        <v>159.35</v>
      </c>
      <c r="C118" s="200"/>
      <c r="D118" s="200">
        <f>Tabela1214[[#This Row],[Valores]]</f>
        <v>159.35</v>
      </c>
      <c r="E118" s="200">
        <f t="shared" si="12"/>
        <v>159.35</v>
      </c>
      <c r="F118" s="202"/>
    </row>
    <row r="119" spans="1:6" hidden="1" x14ac:dyDescent="0.25">
      <c r="A119" s="198">
        <v>44652</v>
      </c>
      <c r="B119" s="202">
        <v>188.93</v>
      </c>
      <c r="C119" s="200"/>
      <c r="D119" s="200">
        <f>Tabela1214[[#This Row],[Valores]]</f>
        <v>188.93</v>
      </c>
      <c r="E119" s="200">
        <f t="shared" si="12"/>
        <v>188.93</v>
      </c>
      <c r="F119" s="202"/>
    </row>
    <row r="120" spans="1:6" hidden="1" x14ac:dyDescent="0.25">
      <c r="A120" s="198">
        <v>44682</v>
      </c>
      <c r="B120" s="202">
        <v>234.93</v>
      </c>
      <c r="C120" s="200"/>
      <c r="D120" s="200">
        <f>Tabela1214[[#This Row],[Valores]]</f>
        <v>234.93</v>
      </c>
      <c r="E120" s="200">
        <f t="shared" si="12"/>
        <v>234.93</v>
      </c>
      <c r="F120" s="202"/>
    </row>
    <row r="121" spans="1:6" hidden="1" x14ac:dyDescent="0.25">
      <c r="A121" s="198">
        <v>44713</v>
      </c>
      <c r="B121" s="202">
        <v>239.6</v>
      </c>
      <c r="C121" s="200"/>
      <c r="D121" s="200">
        <f>Tabela1214[[#This Row],[Valores]]</f>
        <v>239.6</v>
      </c>
      <c r="E121" s="200">
        <f t="shared" si="12"/>
        <v>239.6</v>
      </c>
      <c r="F121" s="202"/>
    </row>
    <row r="122" spans="1:6" hidden="1" x14ac:dyDescent="0.25">
      <c r="A122" s="198">
        <v>44743</v>
      </c>
      <c r="B122" s="202">
        <v>195.85</v>
      </c>
      <c r="C122" s="200"/>
      <c r="D122" s="200">
        <f>Tabela1214[[#This Row],[Valores]]</f>
        <v>195.85</v>
      </c>
      <c r="E122" s="200">
        <f t="shared" ref="E122" si="13">C122+D122</f>
        <v>195.85</v>
      </c>
      <c r="F122" s="202"/>
    </row>
    <row r="123" spans="1:6" hidden="1" x14ac:dyDescent="0.25">
      <c r="A123" s="198">
        <v>44774</v>
      </c>
      <c r="B123" s="202">
        <v>141.03</v>
      </c>
      <c r="C123" s="200"/>
      <c r="D123" s="200">
        <f>Tabela1214[[#This Row],[Valores]]</f>
        <v>141.03</v>
      </c>
      <c r="E123" s="200">
        <f t="shared" ref="E123" si="14">C123+D123</f>
        <v>141.03</v>
      </c>
      <c r="F123" s="202"/>
    </row>
    <row r="124" spans="1:6" hidden="1" x14ac:dyDescent="0.25">
      <c r="A124" s="198">
        <v>44805</v>
      </c>
      <c r="B124" s="202">
        <v>370.08</v>
      </c>
      <c r="C124" s="200"/>
      <c r="D124" s="200">
        <f>Tabela1214[[#This Row],[Valores]]</f>
        <v>370.08</v>
      </c>
      <c r="E124" s="200">
        <f t="shared" ref="E124" si="15">C124+D124</f>
        <v>370.08</v>
      </c>
      <c r="F124" s="202"/>
    </row>
    <row r="125" spans="1:6" hidden="1" x14ac:dyDescent="0.25">
      <c r="A125" s="198">
        <v>44835</v>
      </c>
      <c r="B125" s="202">
        <v>242.02</v>
      </c>
      <c r="C125" s="200"/>
      <c r="D125" s="200">
        <f>Tabela1214[[#This Row],[Valores]]</f>
        <v>242.02</v>
      </c>
      <c r="E125" s="200">
        <f t="shared" ref="E125" si="16">C125+D125</f>
        <v>242.02</v>
      </c>
      <c r="F125" s="202"/>
    </row>
    <row r="126" spans="1:6" x14ac:dyDescent="0.25">
      <c r="A126" s="198">
        <v>44866</v>
      </c>
      <c r="B126" s="202">
        <v>76</v>
      </c>
      <c r="C126" s="200"/>
      <c r="D126" s="200">
        <f>Tabela1214[[#This Row],[Valores]]</f>
        <v>76</v>
      </c>
      <c r="E126" s="200">
        <f t="shared" ref="E126" si="17">C126+D126</f>
        <v>76</v>
      </c>
      <c r="F126" s="202"/>
    </row>
    <row r="127" spans="1:6" x14ac:dyDescent="0.25">
      <c r="A127" s="178" t="s">
        <v>331</v>
      </c>
      <c r="B127" s="179">
        <f>SUBTOTAL(109,Tabela1214[Valores])</f>
        <v>76</v>
      </c>
      <c r="C127" s="179">
        <f>SUBTOTAL(109,Tabela1214[Valores2])</f>
        <v>0</v>
      </c>
      <c r="D127" s="179">
        <f>SUBTOTAL(109,Tabela1214[Valores3])</f>
        <v>76</v>
      </c>
      <c r="E127" s="179">
        <f>SUBTOTAL(109,Tabela1214[Valores4])</f>
        <v>76</v>
      </c>
      <c r="F127" s="179">
        <f>SUBTOTAL(109,Tabela1214[Valores5])</f>
        <v>0</v>
      </c>
    </row>
  </sheetData>
  <mergeCells count="4">
    <mergeCell ref="A66:F69"/>
    <mergeCell ref="A98:F102"/>
    <mergeCell ref="A3:D7"/>
    <mergeCell ref="A35:E3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6:A48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98.85546875" style="55" customWidth="1"/>
    <col min="2" max="16384" width="9.140625" style="55"/>
  </cols>
  <sheetData>
    <row r="6" spans="1:1" x14ac:dyDescent="0.2">
      <c r="A6" s="82"/>
    </row>
    <row r="7" spans="1:1" x14ac:dyDescent="0.2">
      <c r="A7" s="82"/>
    </row>
    <row r="8" spans="1:1" x14ac:dyDescent="0.2">
      <c r="A8" s="37" t="s">
        <v>169</v>
      </c>
    </row>
    <row r="9" spans="1:1" x14ac:dyDescent="0.2">
      <c r="A9" s="83"/>
    </row>
    <row r="10" spans="1:1" x14ac:dyDescent="0.2">
      <c r="A10" s="83" t="s">
        <v>170</v>
      </c>
    </row>
    <row r="11" spans="1:1" x14ac:dyDescent="0.2">
      <c r="A11" s="83" t="s">
        <v>172</v>
      </c>
    </row>
    <row r="12" spans="1:1" x14ac:dyDescent="0.2">
      <c r="A12" s="83"/>
    </row>
    <row r="13" spans="1:1" ht="38.25" x14ac:dyDescent="0.2">
      <c r="A13" s="81" t="s">
        <v>173</v>
      </c>
    </row>
    <row r="14" spans="1:1" x14ac:dyDescent="0.2">
      <c r="A14" s="81"/>
    </row>
    <row r="15" spans="1:1" x14ac:dyDescent="0.2">
      <c r="A15" s="81" t="s">
        <v>174</v>
      </c>
    </row>
    <row r="16" spans="1:1" x14ac:dyDescent="0.2">
      <c r="A16" s="81" t="s">
        <v>175</v>
      </c>
    </row>
    <row r="17" spans="1:1" x14ac:dyDescent="0.2">
      <c r="A17" s="81" t="s">
        <v>176</v>
      </c>
    </row>
    <row r="18" spans="1:1" ht="33" customHeight="1" x14ac:dyDescent="0.2">
      <c r="A18" s="81" t="s">
        <v>177</v>
      </c>
    </row>
    <row r="19" spans="1:1" x14ac:dyDescent="0.2">
      <c r="A19" s="81" t="s">
        <v>178</v>
      </c>
    </row>
    <row r="20" spans="1:1" x14ac:dyDescent="0.2">
      <c r="A20" s="81" t="s">
        <v>179</v>
      </c>
    </row>
    <row r="21" spans="1:1" ht="25.5" x14ac:dyDescent="0.2">
      <c r="A21" s="81" t="s">
        <v>180</v>
      </c>
    </row>
    <row r="22" spans="1:1" x14ac:dyDescent="0.2">
      <c r="A22" s="81" t="s">
        <v>181</v>
      </c>
    </row>
    <row r="23" spans="1:1" x14ac:dyDescent="0.2">
      <c r="A23" s="81" t="s">
        <v>182</v>
      </c>
    </row>
    <row r="24" spans="1:1" x14ac:dyDescent="0.2">
      <c r="A24" s="81" t="s">
        <v>183</v>
      </c>
    </row>
    <row r="25" spans="1:1" x14ac:dyDescent="0.2">
      <c r="A25" s="81" t="s">
        <v>184</v>
      </c>
    </row>
    <row r="26" spans="1:1" x14ac:dyDescent="0.2">
      <c r="A26" s="81" t="s">
        <v>185</v>
      </c>
    </row>
    <row r="27" spans="1:1" x14ac:dyDescent="0.2">
      <c r="A27" s="81" t="s">
        <v>186</v>
      </c>
    </row>
    <row r="28" spans="1:1" x14ac:dyDescent="0.2">
      <c r="A28" s="81" t="s">
        <v>187</v>
      </c>
    </row>
    <row r="29" spans="1:1" x14ac:dyDescent="0.2">
      <c r="A29" s="81" t="s">
        <v>188</v>
      </c>
    </row>
    <row r="30" spans="1:1" ht="38.25" x14ac:dyDescent="0.2">
      <c r="A30" s="81" t="s">
        <v>189</v>
      </c>
    </row>
    <row r="31" spans="1:1" ht="25.5" x14ac:dyDescent="0.2">
      <c r="A31" s="81" t="s">
        <v>190</v>
      </c>
    </row>
    <row r="32" spans="1:1" ht="25.5" x14ac:dyDescent="0.2">
      <c r="A32" s="81" t="s">
        <v>191</v>
      </c>
    </row>
    <row r="33" spans="1:1" ht="25.5" x14ac:dyDescent="0.2">
      <c r="A33" s="81" t="s">
        <v>192</v>
      </c>
    </row>
    <row r="34" spans="1:1" x14ac:dyDescent="0.2">
      <c r="A34" s="81" t="s">
        <v>193</v>
      </c>
    </row>
    <row r="35" spans="1:1" x14ac:dyDescent="0.2">
      <c r="A35" s="81"/>
    </row>
    <row r="36" spans="1:1" x14ac:dyDescent="0.2">
      <c r="A36" s="81" t="s">
        <v>171</v>
      </c>
    </row>
    <row r="37" spans="1:1" x14ac:dyDescent="0.2">
      <c r="A37" s="81"/>
    </row>
    <row r="38" spans="1:1" x14ac:dyDescent="0.2">
      <c r="A38" s="81"/>
    </row>
    <row r="39" spans="1:1" x14ac:dyDescent="0.2">
      <c r="A39" s="61" t="s">
        <v>194</v>
      </c>
    </row>
    <row r="43" spans="1:1" x14ac:dyDescent="0.2">
      <c r="A43" s="80" t="s">
        <v>117</v>
      </c>
    </row>
    <row r="44" spans="1:1" x14ac:dyDescent="0.2">
      <c r="A44" s="80"/>
    </row>
    <row r="45" spans="1:1" x14ac:dyDescent="0.2">
      <c r="A45" s="80"/>
    </row>
    <row r="46" spans="1:1" x14ac:dyDescent="0.2">
      <c r="A46" s="80"/>
    </row>
    <row r="47" spans="1:1" x14ac:dyDescent="0.2">
      <c r="A47" s="61" t="s">
        <v>97</v>
      </c>
    </row>
    <row r="48" spans="1:1" x14ac:dyDescent="0.2">
      <c r="A48" s="61" t="s">
        <v>152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7:A35"/>
  <sheetViews>
    <sheetView topLeftCell="A7" zoomScale="95" zoomScaleNormal="95" workbookViewId="0">
      <selection activeCell="A13" sqref="A13"/>
    </sheetView>
  </sheetViews>
  <sheetFormatPr defaultRowHeight="15" x14ac:dyDescent="0.25"/>
  <cols>
    <col min="1" max="1" width="99.140625" bestFit="1" customWidth="1"/>
  </cols>
  <sheetData>
    <row r="7" spans="1:1" ht="15.75" x14ac:dyDescent="0.25">
      <c r="A7" s="38" t="s">
        <v>72</v>
      </c>
    </row>
    <row r="8" spans="1:1" ht="15.75" x14ac:dyDescent="0.25">
      <c r="A8" s="38" t="s">
        <v>73</v>
      </c>
    </row>
    <row r="9" spans="1:1" ht="15.75" x14ac:dyDescent="0.25">
      <c r="A9" s="39"/>
    </row>
    <row r="10" spans="1:1" ht="15.75" x14ac:dyDescent="0.25">
      <c r="A10" s="39" t="s">
        <v>74</v>
      </c>
    </row>
    <row r="11" spans="1:1" ht="15.75" x14ac:dyDescent="0.25">
      <c r="A11" s="39" t="s">
        <v>75</v>
      </c>
    </row>
    <row r="12" spans="1:1" ht="15.75" x14ac:dyDescent="0.25">
      <c r="A12" s="39" t="s">
        <v>76</v>
      </c>
    </row>
    <row r="13" spans="1:1" ht="30" x14ac:dyDescent="0.25">
      <c r="A13" s="40" t="s">
        <v>119</v>
      </c>
    </row>
    <row r="14" spans="1:1" ht="15.75" x14ac:dyDescent="0.25">
      <c r="A14" s="39" t="s">
        <v>77</v>
      </c>
    </row>
    <row r="15" spans="1:1" ht="15.75" x14ac:dyDescent="0.25">
      <c r="A15" s="39" t="s">
        <v>78</v>
      </c>
    </row>
    <row r="16" spans="1:1" x14ac:dyDescent="0.25">
      <c r="A16" s="41"/>
    </row>
    <row r="17" spans="1:1" ht="125.25" customHeight="1" x14ac:dyDescent="0.25">
      <c r="A17" s="41" t="s">
        <v>79</v>
      </c>
    </row>
    <row r="18" spans="1:1" x14ac:dyDescent="0.25">
      <c r="A18" s="41"/>
    </row>
    <row r="19" spans="1:1" ht="91.5" customHeight="1" x14ac:dyDescent="0.25">
      <c r="A19" s="41" t="s">
        <v>80</v>
      </c>
    </row>
    <row r="20" spans="1:1" x14ac:dyDescent="0.25">
      <c r="A20" s="41"/>
    </row>
    <row r="21" spans="1:1" ht="15.75" x14ac:dyDescent="0.25">
      <c r="A21" s="38" t="s">
        <v>71</v>
      </c>
    </row>
    <row r="22" spans="1:1" x14ac:dyDescent="0.25">
      <c r="A22" s="41"/>
    </row>
    <row r="23" spans="1:1" ht="15.75" x14ac:dyDescent="0.25">
      <c r="A23" s="40" t="s">
        <v>81</v>
      </c>
    </row>
    <row r="24" spans="1:1" ht="15.75" x14ac:dyDescent="0.25">
      <c r="A24" s="41" t="s">
        <v>91</v>
      </c>
    </row>
    <row r="25" spans="1:1" x14ac:dyDescent="0.25">
      <c r="A25" s="41" t="s">
        <v>82</v>
      </c>
    </row>
    <row r="26" spans="1:1" x14ac:dyDescent="0.25">
      <c r="A26" s="41" t="s">
        <v>83</v>
      </c>
    </row>
    <row r="27" spans="1:1" x14ac:dyDescent="0.25">
      <c r="A27" s="41" t="s">
        <v>84</v>
      </c>
    </row>
    <row r="28" spans="1:1" x14ac:dyDescent="0.25">
      <c r="A28" s="41"/>
    </row>
    <row r="29" spans="1:1" ht="15.75" x14ac:dyDescent="0.25">
      <c r="A29" s="40" t="s">
        <v>85</v>
      </c>
    </row>
    <row r="30" spans="1:1" ht="15.75" x14ac:dyDescent="0.25">
      <c r="A30" s="41" t="s">
        <v>86</v>
      </c>
    </row>
    <row r="31" spans="1:1" x14ac:dyDescent="0.25">
      <c r="A31" s="41" t="s">
        <v>87</v>
      </c>
    </row>
    <row r="32" spans="1:1" x14ac:dyDescent="0.25">
      <c r="A32" s="41" t="s">
        <v>88</v>
      </c>
    </row>
    <row r="33" spans="1:1" ht="30" x14ac:dyDescent="0.25">
      <c r="A33" s="41" t="s">
        <v>89</v>
      </c>
    </row>
    <row r="34" spans="1:1" x14ac:dyDescent="0.25">
      <c r="A34" s="41"/>
    </row>
    <row r="35" spans="1:1" x14ac:dyDescent="0.25">
      <c r="A35" s="42" t="s">
        <v>90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7:B45"/>
  <sheetViews>
    <sheetView topLeftCell="A28" zoomScale="98" zoomScaleNormal="98" workbookViewId="0">
      <selection activeCell="A13" sqref="A13:B13"/>
    </sheetView>
  </sheetViews>
  <sheetFormatPr defaultColWidth="9.140625" defaultRowHeight="15" x14ac:dyDescent="0.25"/>
  <cols>
    <col min="1" max="1" width="43.5703125" customWidth="1"/>
    <col min="2" max="2" width="56.28515625" customWidth="1"/>
  </cols>
  <sheetData>
    <row r="7" spans="1:2" x14ac:dyDescent="0.25">
      <c r="A7" s="278" t="s">
        <v>92</v>
      </c>
      <c r="B7" s="278"/>
    </row>
    <row r="8" spans="1:2" x14ac:dyDescent="0.25">
      <c r="A8" s="278" t="s">
        <v>93</v>
      </c>
      <c r="B8" s="278"/>
    </row>
    <row r="9" spans="1:2" x14ac:dyDescent="0.25">
      <c r="A9" s="44"/>
      <c r="B9" s="44"/>
    </row>
    <row r="10" spans="1:2" x14ac:dyDescent="0.25">
      <c r="A10" s="44"/>
    </row>
    <row r="11" spans="1:2" x14ac:dyDescent="0.25">
      <c r="A11" s="275" t="s">
        <v>94</v>
      </c>
      <c r="B11" s="275"/>
    </row>
    <row r="12" spans="1:2" x14ac:dyDescent="0.25">
      <c r="A12" s="281" t="s">
        <v>95</v>
      </c>
      <c r="B12" s="281"/>
    </row>
    <row r="13" spans="1:2" x14ac:dyDescent="0.25">
      <c r="A13" s="275" t="s">
        <v>120</v>
      </c>
      <c r="B13" s="275"/>
    </row>
    <row r="14" spans="1:2" x14ac:dyDescent="0.25">
      <c r="A14" s="280" t="s">
        <v>121</v>
      </c>
      <c r="B14" s="280"/>
    </row>
    <row r="15" spans="1:2" x14ac:dyDescent="0.25">
      <c r="A15" s="50"/>
      <c r="B15" s="50"/>
    </row>
    <row r="16" spans="1:2" x14ac:dyDescent="0.25">
      <c r="A16" s="50"/>
      <c r="B16" s="50"/>
    </row>
    <row r="17" spans="1:2" x14ac:dyDescent="0.25">
      <c r="A17" s="50"/>
      <c r="B17" s="50"/>
    </row>
    <row r="18" spans="1:2" x14ac:dyDescent="0.25">
      <c r="A18" s="45" t="s">
        <v>96</v>
      </c>
      <c r="B18" s="45" t="s">
        <v>97</v>
      </c>
    </row>
    <row r="19" spans="1:2" x14ac:dyDescent="0.25">
      <c r="A19" s="45" t="s">
        <v>98</v>
      </c>
      <c r="B19" s="45" t="s">
        <v>99</v>
      </c>
    </row>
    <row r="20" spans="1:2" x14ac:dyDescent="0.25">
      <c r="A20" s="45" t="s">
        <v>100</v>
      </c>
      <c r="B20" s="45" t="s">
        <v>101</v>
      </c>
    </row>
    <row r="21" spans="1:2" ht="28.5" x14ac:dyDescent="0.25">
      <c r="A21" s="45" t="s">
        <v>102</v>
      </c>
      <c r="B21" s="49" t="s">
        <v>103</v>
      </c>
    </row>
    <row r="22" spans="1:2" x14ac:dyDescent="0.25">
      <c r="A22" s="45" t="s">
        <v>104</v>
      </c>
      <c r="B22" s="45" t="s">
        <v>105</v>
      </c>
    </row>
    <row r="23" spans="1:2" x14ac:dyDescent="0.25">
      <c r="A23" s="45" t="s">
        <v>106</v>
      </c>
      <c r="B23" s="45" t="s">
        <v>107</v>
      </c>
    </row>
    <row r="24" spans="1:2" x14ac:dyDescent="0.25">
      <c r="A24" s="20" t="s">
        <v>118</v>
      </c>
      <c r="B24" s="46"/>
    </row>
    <row r="25" spans="1:2" x14ac:dyDescent="0.25">
      <c r="A25" s="46"/>
      <c r="B25" s="46"/>
    </row>
    <row r="26" spans="1:2" x14ac:dyDescent="0.25">
      <c r="A26" s="46"/>
      <c r="B26" s="46"/>
    </row>
    <row r="27" spans="1:2" x14ac:dyDescent="0.25">
      <c r="A27" s="275"/>
      <c r="B27" s="276"/>
    </row>
    <row r="28" spans="1:2" x14ac:dyDescent="0.25">
      <c r="A28" s="42"/>
    </row>
    <row r="29" spans="1:2" x14ac:dyDescent="0.25">
      <c r="A29" s="51" t="s">
        <v>108</v>
      </c>
      <c r="B29" s="52"/>
    </row>
    <row r="30" spans="1:2" x14ac:dyDescent="0.25">
      <c r="A30" s="47"/>
    </row>
    <row r="31" spans="1:2" x14ac:dyDescent="0.25">
      <c r="A31" s="45" t="s">
        <v>109</v>
      </c>
      <c r="B31" s="45" t="s">
        <v>110</v>
      </c>
    </row>
    <row r="32" spans="1:2" x14ac:dyDescent="0.25">
      <c r="A32" s="45" t="s">
        <v>98</v>
      </c>
      <c r="B32" s="45" t="s">
        <v>111</v>
      </c>
    </row>
    <row r="33" spans="1:2" ht="28.5" x14ac:dyDescent="0.25">
      <c r="A33" s="45" t="s">
        <v>112</v>
      </c>
      <c r="B33" s="45" t="s">
        <v>113</v>
      </c>
    </row>
    <row r="34" spans="1:2" x14ac:dyDescent="0.25">
      <c r="A34" s="45" t="s">
        <v>114</v>
      </c>
      <c r="B34" s="45" t="s">
        <v>105</v>
      </c>
    </row>
    <row r="35" spans="1:2" x14ac:dyDescent="0.25">
      <c r="A35" s="45" t="s">
        <v>106</v>
      </c>
      <c r="B35" s="45" t="s">
        <v>107</v>
      </c>
    </row>
    <row r="36" spans="1:2" x14ac:dyDescent="0.25">
      <c r="A36" s="48"/>
    </row>
    <row r="37" spans="1:2" x14ac:dyDescent="0.25">
      <c r="A37" s="48"/>
    </row>
    <row r="38" spans="1:2" x14ac:dyDescent="0.25">
      <c r="A38" s="48"/>
    </row>
    <row r="39" spans="1:2" x14ac:dyDescent="0.25">
      <c r="A39" s="277" t="s">
        <v>117</v>
      </c>
      <c r="B39" s="277"/>
    </row>
    <row r="40" spans="1:2" x14ac:dyDescent="0.25">
      <c r="A40" s="44"/>
      <c r="B40" s="44"/>
    </row>
    <row r="41" spans="1:2" x14ac:dyDescent="0.25">
      <c r="A41" s="44"/>
      <c r="B41" s="44"/>
    </row>
    <row r="42" spans="1:2" x14ac:dyDescent="0.25">
      <c r="A42" s="44"/>
      <c r="B42" s="44"/>
    </row>
    <row r="43" spans="1:2" x14ac:dyDescent="0.25">
      <c r="A43" s="278" t="s">
        <v>115</v>
      </c>
      <c r="B43" s="278"/>
    </row>
    <row r="44" spans="1:2" x14ac:dyDescent="0.25">
      <c r="A44" s="279" t="s">
        <v>97</v>
      </c>
      <c r="B44" s="279"/>
    </row>
    <row r="45" spans="1:2" x14ac:dyDescent="0.25">
      <c r="A45" s="279" t="s">
        <v>116</v>
      </c>
      <c r="B45" s="279"/>
    </row>
  </sheetData>
  <mergeCells count="11">
    <mergeCell ref="A14:B14"/>
    <mergeCell ref="A7:B7"/>
    <mergeCell ref="A8:B8"/>
    <mergeCell ref="A11:B11"/>
    <mergeCell ref="A12:B12"/>
    <mergeCell ref="A13:B13"/>
    <mergeCell ref="A27:B27"/>
    <mergeCell ref="A39:B39"/>
    <mergeCell ref="A43:B43"/>
    <mergeCell ref="A44:B44"/>
    <mergeCell ref="A45:B45"/>
  </mergeCells>
  <pageMargins left="0.11811023622047245" right="0.11811023622047245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43"/>
  <sheetViews>
    <sheetView topLeftCell="A13" zoomScaleNormal="100" workbookViewId="0">
      <selection activeCell="C31" sqref="C31"/>
    </sheetView>
  </sheetViews>
  <sheetFormatPr defaultColWidth="9.140625" defaultRowHeight="12.75" x14ac:dyDescent="0.2"/>
  <cols>
    <col min="1" max="1" width="101.7109375" style="55" customWidth="1"/>
    <col min="2" max="16384" width="9.140625" style="55"/>
  </cols>
  <sheetData>
    <row r="1" spans="1:1" ht="15.75" x14ac:dyDescent="0.2">
      <c r="A1" s="57" t="s">
        <v>122</v>
      </c>
    </row>
    <row r="2" spans="1:1" ht="15.75" x14ac:dyDescent="0.2">
      <c r="A2" s="57" t="s">
        <v>123</v>
      </c>
    </row>
    <row r="6" spans="1:1" ht="15" x14ac:dyDescent="0.2">
      <c r="A6" s="44" t="s">
        <v>124</v>
      </c>
    </row>
    <row r="7" spans="1:1" x14ac:dyDescent="0.2">
      <c r="A7" s="37"/>
    </row>
    <row r="8" spans="1:1" x14ac:dyDescent="0.2">
      <c r="A8" s="56"/>
    </row>
    <row r="9" spans="1:1" ht="15" x14ac:dyDescent="0.2">
      <c r="A9" s="44" t="s">
        <v>125</v>
      </c>
    </row>
    <row r="11" spans="1:1" ht="15" x14ac:dyDescent="0.2">
      <c r="A11" s="50" t="s">
        <v>126</v>
      </c>
    </row>
    <row r="12" spans="1:1" ht="15" x14ac:dyDescent="0.2">
      <c r="A12" s="50" t="s">
        <v>127</v>
      </c>
    </row>
    <row r="13" spans="1:1" ht="15" x14ac:dyDescent="0.2">
      <c r="A13" s="50" t="s">
        <v>134</v>
      </c>
    </row>
    <row r="14" spans="1:1" ht="15" x14ac:dyDescent="0.2">
      <c r="A14" s="50" t="s">
        <v>128</v>
      </c>
    </row>
    <row r="15" spans="1:1" ht="15" x14ac:dyDescent="0.2">
      <c r="A15" s="50" t="s">
        <v>135</v>
      </c>
    </row>
    <row r="16" spans="1:1" ht="15" x14ac:dyDescent="0.2">
      <c r="A16" s="50" t="s">
        <v>129</v>
      </c>
    </row>
    <row r="17" spans="1:1" ht="15" x14ac:dyDescent="0.2">
      <c r="A17" s="50" t="s">
        <v>130</v>
      </c>
    </row>
    <row r="18" spans="1:1" ht="15" x14ac:dyDescent="0.2">
      <c r="A18" s="50" t="s">
        <v>137</v>
      </c>
    </row>
    <row r="19" spans="1:1" ht="15" x14ac:dyDescent="0.2">
      <c r="A19" s="50" t="s">
        <v>131</v>
      </c>
    </row>
    <row r="20" spans="1:1" ht="15" x14ac:dyDescent="0.25">
      <c r="A20" s="53" t="s">
        <v>133</v>
      </c>
    </row>
    <row r="26" spans="1:1" ht="60" x14ac:dyDescent="0.2">
      <c r="A26" s="41" t="s">
        <v>136</v>
      </c>
    </row>
    <row r="35" spans="1:1" ht="15" x14ac:dyDescent="0.2">
      <c r="A35" s="54" t="s">
        <v>117</v>
      </c>
    </row>
    <row r="36" spans="1:1" ht="15" x14ac:dyDescent="0.2">
      <c r="A36" s="41"/>
    </row>
    <row r="37" spans="1:1" ht="15" x14ac:dyDescent="0.2">
      <c r="A37" s="41"/>
    </row>
    <row r="38" spans="1:1" ht="15" x14ac:dyDescent="0.2">
      <c r="A38" s="41"/>
    </row>
    <row r="39" spans="1:1" ht="15" x14ac:dyDescent="0.2">
      <c r="A39" s="41"/>
    </row>
    <row r="40" spans="1:1" ht="15" x14ac:dyDescent="0.2">
      <c r="A40" s="41"/>
    </row>
    <row r="41" spans="1:1" ht="15" x14ac:dyDescent="0.2">
      <c r="A41" s="41"/>
    </row>
    <row r="42" spans="1:1" ht="15" x14ac:dyDescent="0.2">
      <c r="A42" s="54" t="s">
        <v>115</v>
      </c>
    </row>
    <row r="43" spans="1:1" ht="15" x14ac:dyDescent="0.2">
      <c r="A43" s="54" t="s">
        <v>132</v>
      </c>
    </row>
  </sheetData>
  <pageMargins left="0.31496062992125984" right="0.11811023622047245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8:A41"/>
  <sheetViews>
    <sheetView topLeftCell="A19" zoomScale="98" zoomScaleNormal="98" workbookViewId="0">
      <selection activeCell="A30" sqref="A30:A42"/>
    </sheetView>
  </sheetViews>
  <sheetFormatPr defaultRowHeight="15" x14ac:dyDescent="0.25"/>
  <cols>
    <col min="1" max="1" width="96.85546875" bestFit="1" customWidth="1"/>
  </cols>
  <sheetData>
    <row r="8" spans="1:1" ht="16.5" x14ac:dyDescent="0.25">
      <c r="A8" s="43" t="s">
        <v>124</v>
      </c>
    </row>
    <row r="9" spans="1:1" ht="16.5" x14ac:dyDescent="0.25">
      <c r="A9" s="43"/>
    </row>
    <row r="10" spans="1:1" ht="16.5" x14ac:dyDescent="0.25">
      <c r="A10" s="43" t="s">
        <v>138</v>
      </c>
    </row>
    <row r="13" spans="1:1" x14ac:dyDescent="0.25">
      <c r="A13" s="50" t="s">
        <v>126</v>
      </c>
    </row>
    <row r="14" spans="1:1" x14ac:dyDescent="0.25">
      <c r="A14" s="50" t="s">
        <v>127</v>
      </c>
    </row>
    <row r="15" spans="1:1" x14ac:dyDescent="0.25">
      <c r="A15" s="50" t="s">
        <v>134</v>
      </c>
    </row>
    <row r="16" spans="1:1" x14ac:dyDescent="0.25">
      <c r="A16" s="50" t="s">
        <v>128</v>
      </c>
    </row>
    <row r="17" spans="1:1" x14ac:dyDescent="0.25">
      <c r="A17" s="50" t="s">
        <v>135</v>
      </c>
    </row>
    <row r="18" spans="1:1" x14ac:dyDescent="0.25">
      <c r="A18" s="50" t="s">
        <v>129</v>
      </c>
    </row>
    <row r="19" spans="1:1" x14ac:dyDescent="0.25">
      <c r="A19" s="50" t="s">
        <v>130</v>
      </c>
    </row>
    <row r="20" spans="1:1" x14ac:dyDescent="0.25">
      <c r="A20" s="50" t="s">
        <v>137</v>
      </c>
    </row>
    <row r="21" spans="1:1" x14ac:dyDescent="0.25">
      <c r="A21" s="50" t="s">
        <v>131</v>
      </c>
    </row>
    <row r="22" spans="1:1" x14ac:dyDescent="0.25">
      <c r="A22" s="53" t="s">
        <v>133</v>
      </c>
    </row>
    <row r="26" spans="1:1" ht="60" customHeight="1" x14ac:dyDescent="0.25">
      <c r="A26" s="41" t="s">
        <v>139</v>
      </c>
    </row>
    <row r="30" spans="1:1" x14ac:dyDescent="0.25">
      <c r="A30" s="54" t="s">
        <v>117</v>
      </c>
    </row>
    <row r="33" spans="1:1" x14ac:dyDescent="0.25">
      <c r="A33" s="58"/>
    </row>
    <row r="34" spans="1:1" x14ac:dyDescent="0.25">
      <c r="A34" s="59" t="s">
        <v>141</v>
      </c>
    </row>
    <row r="35" spans="1:1" x14ac:dyDescent="0.25">
      <c r="A35" s="59" t="s">
        <v>142</v>
      </c>
    </row>
    <row r="40" spans="1:1" x14ac:dyDescent="0.25">
      <c r="A40" s="58" t="s">
        <v>143</v>
      </c>
    </row>
    <row r="41" spans="1:1" x14ac:dyDescent="0.25">
      <c r="A41" s="58" t="s">
        <v>140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2:A48"/>
  <sheetViews>
    <sheetView topLeftCell="A13" zoomScale="112" zoomScaleNormal="112" workbookViewId="0">
      <selection activeCell="A29" sqref="A29:A35"/>
    </sheetView>
  </sheetViews>
  <sheetFormatPr defaultColWidth="9.140625" defaultRowHeight="12.75" x14ac:dyDescent="0.2"/>
  <cols>
    <col min="1" max="1" width="96" style="55" customWidth="1"/>
    <col min="2" max="16384" width="9.140625" style="55"/>
  </cols>
  <sheetData>
    <row r="12" spans="1:1" ht="13.5" thickBot="1" x14ac:dyDescent="0.25"/>
    <row r="13" spans="1:1" ht="13.5" thickBot="1" x14ac:dyDescent="0.25">
      <c r="A13" s="60" t="s">
        <v>145</v>
      </c>
    </row>
    <row r="14" spans="1:1" x14ac:dyDescent="0.2">
      <c r="A14" s="37"/>
    </row>
    <row r="15" spans="1:1" x14ac:dyDescent="0.2">
      <c r="A15" s="234"/>
    </row>
    <row r="16" spans="1:1" x14ac:dyDescent="0.2">
      <c r="A16" s="234"/>
    </row>
    <row r="17" spans="1:1" ht="13.5" thickBot="1" x14ac:dyDescent="0.25">
      <c r="A17" s="37"/>
    </row>
    <row r="18" spans="1:1" ht="13.5" thickBot="1" x14ac:dyDescent="0.25">
      <c r="A18" s="68" t="s">
        <v>146</v>
      </c>
    </row>
    <row r="19" spans="1:1" ht="13.5" thickBot="1" x14ac:dyDescent="0.25">
      <c r="A19" s="66" t="s">
        <v>147</v>
      </c>
    </row>
    <row r="20" spans="1:1" ht="13.5" thickBot="1" x14ac:dyDescent="0.25">
      <c r="A20" s="62" t="s">
        <v>148</v>
      </c>
    </row>
    <row r="21" spans="1:1" ht="13.5" thickBot="1" x14ac:dyDescent="0.25">
      <c r="A21" s="62" t="s">
        <v>155</v>
      </c>
    </row>
    <row r="22" spans="1:1" ht="13.5" thickBot="1" x14ac:dyDescent="0.25">
      <c r="A22" s="67" t="s">
        <v>156</v>
      </c>
    </row>
    <row r="23" spans="1:1" x14ac:dyDescent="0.2">
      <c r="A23" s="75"/>
    </row>
    <row r="24" spans="1:1" x14ac:dyDescent="0.2">
      <c r="A24" s="69" t="s">
        <v>149</v>
      </c>
    </row>
    <row r="25" spans="1:1" ht="38.25" x14ac:dyDescent="0.2">
      <c r="A25" s="70" t="s">
        <v>150</v>
      </c>
    </row>
    <row r="26" spans="1:1" ht="13.5" thickBot="1" x14ac:dyDescent="0.25">
      <c r="A26" s="71"/>
    </row>
    <row r="27" spans="1:1" x14ac:dyDescent="0.2">
      <c r="A27" s="63"/>
    </row>
    <row r="28" spans="1:1" x14ac:dyDescent="0.2">
      <c r="A28" s="63"/>
    </row>
    <row r="29" spans="1:1" x14ac:dyDescent="0.2">
      <c r="A29" s="63"/>
    </row>
    <row r="30" spans="1:1" x14ac:dyDescent="0.2">
      <c r="A30" s="63" t="s">
        <v>117</v>
      </c>
    </row>
    <row r="31" spans="1:1" x14ac:dyDescent="0.2">
      <c r="A31" s="64"/>
    </row>
    <row r="32" spans="1:1" x14ac:dyDescent="0.2">
      <c r="A32" s="64"/>
    </row>
    <row r="33" spans="1:1" x14ac:dyDescent="0.2">
      <c r="A33" s="64" t="s">
        <v>151</v>
      </c>
    </row>
    <row r="34" spans="1:1" x14ac:dyDescent="0.2">
      <c r="A34" s="65" t="s">
        <v>97</v>
      </c>
    </row>
    <row r="35" spans="1:1" x14ac:dyDescent="0.2">
      <c r="A35" s="65" t="s">
        <v>152</v>
      </c>
    </row>
    <row r="36" spans="1:1" ht="13.5" thickBot="1" x14ac:dyDescent="0.25">
      <c r="A36" s="72"/>
    </row>
    <row r="37" spans="1:1" x14ac:dyDescent="0.2">
      <c r="A37" s="73"/>
    </row>
    <row r="38" spans="1:1" x14ac:dyDescent="0.2">
      <c r="A38" s="63"/>
    </row>
    <row r="39" spans="1:1" x14ac:dyDescent="0.2">
      <c r="A39" s="63"/>
    </row>
    <row r="40" spans="1:1" x14ac:dyDescent="0.2">
      <c r="A40" s="63"/>
    </row>
    <row r="41" spans="1:1" x14ac:dyDescent="0.2">
      <c r="A41" s="63" t="s">
        <v>117</v>
      </c>
    </row>
    <row r="42" spans="1:1" x14ac:dyDescent="0.2">
      <c r="A42" s="63"/>
    </row>
    <row r="43" spans="1:1" x14ac:dyDescent="0.2">
      <c r="A43" s="63"/>
    </row>
    <row r="44" spans="1:1" x14ac:dyDescent="0.2">
      <c r="A44" s="64" t="s">
        <v>153</v>
      </c>
    </row>
    <row r="45" spans="1:1" x14ac:dyDescent="0.2">
      <c r="A45" s="64" t="s">
        <v>154</v>
      </c>
    </row>
    <row r="46" spans="1:1" x14ac:dyDescent="0.2">
      <c r="A46" s="64" t="s">
        <v>144</v>
      </c>
    </row>
    <row r="47" spans="1:1" x14ac:dyDescent="0.2">
      <c r="A47" s="74"/>
    </row>
    <row r="48" spans="1:1" ht="13.5" thickBot="1" x14ac:dyDescent="0.25">
      <c r="A48" s="66"/>
    </row>
  </sheetData>
  <mergeCells count="1">
    <mergeCell ref="A15:A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8:A44"/>
  <sheetViews>
    <sheetView topLeftCell="A10" workbookViewId="0">
      <selection activeCell="A27" sqref="A27"/>
    </sheetView>
  </sheetViews>
  <sheetFormatPr defaultRowHeight="15" x14ac:dyDescent="0.25"/>
  <cols>
    <col min="1" max="1" width="93.7109375" customWidth="1"/>
  </cols>
  <sheetData>
    <row r="8" spans="1:1" ht="16.5" x14ac:dyDescent="0.25">
      <c r="A8" s="43" t="s">
        <v>124</v>
      </c>
    </row>
    <row r="9" spans="1:1" ht="16.5" x14ac:dyDescent="0.25">
      <c r="A9" s="43"/>
    </row>
    <row r="10" spans="1:1" ht="16.5" x14ac:dyDescent="0.25">
      <c r="A10" s="43" t="s">
        <v>157</v>
      </c>
    </row>
    <row r="11" spans="1:1" ht="16.5" x14ac:dyDescent="0.25">
      <c r="A11" s="43" t="s">
        <v>158</v>
      </c>
    </row>
    <row r="14" spans="1:1" x14ac:dyDescent="0.25">
      <c r="A14" s="50" t="s">
        <v>126</v>
      </c>
    </row>
    <row r="15" spans="1:1" x14ac:dyDescent="0.25">
      <c r="A15" s="50" t="s">
        <v>127</v>
      </c>
    </row>
    <row r="16" spans="1:1" x14ac:dyDescent="0.25">
      <c r="A16" s="50" t="s">
        <v>134</v>
      </c>
    </row>
    <row r="17" spans="1:1" x14ac:dyDescent="0.25">
      <c r="A17" s="50" t="s">
        <v>128</v>
      </c>
    </row>
    <row r="18" spans="1:1" x14ac:dyDescent="0.25">
      <c r="A18" s="50" t="s">
        <v>135</v>
      </c>
    </row>
    <row r="19" spans="1:1" x14ac:dyDescent="0.25">
      <c r="A19" s="50" t="s">
        <v>129</v>
      </c>
    </row>
    <row r="20" spans="1:1" x14ac:dyDescent="0.25">
      <c r="A20" s="50" t="s">
        <v>130</v>
      </c>
    </row>
    <row r="21" spans="1:1" x14ac:dyDescent="0.25">
      <c r="A21" s="50" t="s">
        <v>137</v>
      </c>
    </row>
    <row r="22" spans="1:1" x14ac:dyDescent="0.25">
      <c r="A22" s="50" t="s">
        <v>131</v>
      </c>
    </row>
    <row r="23" spans="1:1" x14ac:dyDescent="0.25">
      <c r="A23" s="53" t="s">
        <v>133</v>
      </c>
    </row>
    <row r="27" spans="1:1" ht="78" x14ac:dyDescent="0.25">
      <c r="A27" s="41" t="s">
        <v>159</v>
      </c>
    </row>
    <row r="31" spans="1:1" x14ac:dyDescent="0.25">
      <c r="A31" s="54" t="s">
        <v>117</v>
      </c>
    </row>
    <row r="32" spans="1:1" x14ac:dyDescent="0.25">
      <c r="A32" s="54"/>
    </row>
    <row r="33" spans="1:1" x14ac:dyDescent="0.25">
      <c r="A33" s="54"/>
    </row>
    <row r="34" spans="1:1" ht="15.75" x14ac:dyDescent="0.25">
      <c r="A34" s="38" t="s">
        <v>160</v>
      </c>
    </row>
    <row r="35" spans="1:1" ht="15.75" x14ac:dyDescent="0.25">
      <c r="A35" s="38"/>
    </row>
    <row r="36" spans="1:1" x14ac:dyDescent="0.25">
      <c r="A36" s="58"/>
    </row>
    <row r="37" spans="1:1" x14ac:dyDescent="0.25">
      <c r="A37" s="59" t="s">
        <v>141</v>
      </c>
    </row>
    <row r="38" spans="1:1" x14ac:dyDescent="0.25">
      <c r="A38" s="59" t="s">
        <v>142</v>
      </c>
    </row>
    <row r="43" spans="1:1" x14ac:dyDescent="0.25">
      <c r="A43" s="58" t="s">
        <v>143</v>
      </c>
    </row>
    <row r="44" spans="1:1" x14ac:dyDescent="0.25">
      <c r="A44" s="58" t="s">
        <v>140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0:B43"/>
  <sheetViews>
    <sheetView topLeftCell="A28" workbookViewId="0">
      <selection activeCell="A38" sqref="A38:B38"/>
    </sheetView>
  </sheetViews>
  <sheetFormatPr defaultRowHeight="15" x14ac:dyDescent="0.25"/>
  <cols>
    <col min="1" max="1" width="32.42578125" customWidth="1"/>
    <col min="2" max="2" width="64.5703125" customWidth="1"/>
  </cols>
  <sheetData>
    <row r="10" spans="1:2" ht="16.5" x14ac:dyDescent="0.25">
      <c r="A10" s="283" t="s">
        <v>124</v>
      </c>
      <c r="B10" s="283"/>
    </row>
    <row r="11" spans="1:2" ht="16.5" x14ac:dyDescent="0.25">
      <c r="A11" s="43"/>
    </row>
    <row r="12" spans="1:2" ht="16.5" x14ac:dyDescent="0.25">
      <c r="A12" s="283" t="s">
        <v>161</v>
      </c>
      <c r="B12" s="283"/>
    </row>
    <row r="15" spans="1:2" x14ac:dyDescent="0.25">
      <c r="A15" s="282" t="s">
        <v>126</v>
      </c>
      <c r="B15" s="282"/>
    </row>
    <row r="16" spans="1:2" x14ac:dyDescent="0.25">
      <c r="A16" s="282" t="s">
        <v>127</v>
      </c>
      <c r="B16" s="282"/>
    </row>
    <row r="17" spans="1:2" x14ac:dyDescent="0.25">
      <c r="A17" s="282" t="s">
        <v>134</v>
      </c>
      <c r="B17" s="282"/>
    </row>
    <row r="18" spans="1:2" x14ac:dyDescent="0.25">
      <c r="A18" s="282" t="s">
        <v>128</v>
      </c>
      <c r="B18" s="282"/>
    </row>
    <row r="19" spans="1:2" x14ac:dyDescent="0.25">
      <c r="A19" s="282" t="s">
        <v>135</v>
      </c>
      <c r="B19" s="282"/>
    </row>
    <row r="20" spans="1:2" x14ac:dyDescent="0.25">
      <c r="A20" s="282" t="s">
        <v>129</v>
      </c>
      <c r="B20" s="282"/>
    </row>
    <row r="21" spans="1:2" x14ac:dyDescent="0.25">
      <c r="A21" s="282" t="s">
        <v>130</v>
      </c>
      <c r="B21" s="282"/>
    </row>
    <row r="22" spans="1:2" x14ac:dyDescent="0.25">
      <c r="A22" s="282" t="s">
        <v>137</v>
      </c>
      <c r="B22" s="282"/>
    </row>
    <row r="23" spans="1:2" x14ac:dyDescent="0.25">
      <c r="A23" s="282" t="s">
        <v>131</v>
      </c>
      <c r="B23" s="282"/>
    </row>
    <row r="24" spans="1:2" x14ac:dyDescent="0.25">
      <c r="A24" s="282" t="s">
        <v>133</v>
      </c>
      <c r="B24" s="282"/>
    </row>
    <row r="27" spans="1:2" ht="15.75" x14ac:dyDescent="0.25">
      <c r="A27" s="76" t="s">
        <v>109</v>
      </c>
      <c r="B27" s="77" t="s">
        <v>97</v>
      </c>
    </row>
    <row r="28" spans="1:2" ht="15.75" x14ac:dyDescent="0.25">
      <c r="A28" s="76" t="s">
        <v>98</v>
      </c>
      <c r="B28" s="77" t="s">
        <v>152</v>
      </c>
    </row>
    <row r="29" spans="1:2" ht="15.75" x14ac:dyDescent="0.25">
      <c r="A29" s="76" t="s">
        <v>162</v>
      </c>
      <c r="B29" s="77" t="s">
        <v>163</v>
      </c>
    </row>
    <row r="30" spans="1:2" ht="15.75" x14ac:dyDescent="0.25">
      <c r="A30" s="76" t="s">
        <v>100</v>
      </c>
      <c r="B30" s="77" t="s">
        <v>101</v>
      </c>
    </row>
    <row r="31" spans="1:2" ht="31.5" x14ac:dyDescent="0.25">
      <c r="A31" s="76" t="s">
        <v>164</v>
      </c>
      <c r="B31" s="77" t="s">
        <v>103</v>
      </c>
    </row>
    <row r="32" spans="1:2" ht="15.75" x14ac:dyDescent="0.25">
      <c r="A32" s="76" t="s">
        <v>165</v>
      </c>
      <c r="B32" s="77" t="s">
        <v>105</v>
      </c>
    </row>
    <row r="33" spans="1:2" x14ac:dyDescent="0.25">
      <c r="A33" s="76" t="s">
        <v>166</v>
      </c>
      <c r="B33" s="78" t="s">
        <v>167</v>
      </c>
    </row>
    <row r="34" spans="1:2" x14ac:dyDescent="0.25">
      <c r="A34" s="76" t="s">
        <v>168</v>
      </c>
      <c r="B34" s="78" t="s">
        <v>107</v>
      </c>
    </row>
    <row r="37" spans="1:2" x14ac:dyDescent="0.25">
      <c r="A37" s="79"/>
    </row>
    <row r="38" spans="1:2" x14ac:dyDescent="0.25">
      <c r="A38" s="265" t="s">
        <v>117</v>
      </c>
      <c r="B38" s="265"/>
    </row>
    <row r="39" spans="1:2" x14ac:dyDescent="0.25">
      <c r="A39" s="80"/>
    </row>
    <row r="40" spans="1:2" x14ac:dyDescent="0.25">
      <c r="A40" s="80"/>
    </row>
    <row r="41" spans="1:2" x14ac:dyDescent="0.25">
      <c r="A41" s="80"/>
    </row>
    <row r="42" spans="1:2" x14ac:dyDescent="0.25">
      <c r="A42" s="284" t="s">
        <v>97</v>
      </c>
      <c r="B42" s="284"/>
    </row>
    <row r="43" spans="1:2" x14ac:dyDescent="0.25">
      <c r="A43" s="284" t="s">
        <v>152</v>
      </c>
      <c r="B43" s="284"/>
    </row>
  </sheetData>
  <mergeCells count="15">
    <mergeCell ref="A38:B38"/>
    <mergeCell ref="A42:B42"/>
    <mergeCell ref="A43:B43"/>
    <mergeCell ref="A19:B19"/>
    <mergeCell ref="A20:B20"/>
    <mergeCell ref="A21:B21"/>
    <mergeCell ref="A22:B22"/>
    <mergeCell ref="A23:B23"/>
    <mergeCell ref="A24:B24"/>
    <mergeCell ref="A18:B18"/>
    <mergeCell ref="A10:B10"/>
    <mergeCell ref="A12:B12"/>
    <mergeCell ref="A15:B15"/>
    <mergeCell ref="A16:B16"/>
    <mergeCell ref="A17:B17"/>
  </mergeCells>
  <hyperlinks>
    <hyperlink ref="B33" r:id="rId1" display="mailto:presidente@ceivi.org.br" xr:uid="{00000000-0004-0000-1B00-000000000000}"/>
    <hyperlink ref="B34" r:id="rId2" display="mailto:ceivi@ceivi.org.br" xr:uid="{00000000-0004-0000-1B00-000001000000}"/>
  </hyperlinks>
  <pageMargins left="0.31496062992125984" right="0.11811023622047245" top="0.78740157480314965" bottom="0.78740157480314965" header="0.31496062992125984" footer="0.31496062992125984"/>
  <pageSetup paperSize="9"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I92"/>
  <sheetViews>
    <sheetView topLeftCell="A58" workbookViewId="0">
      <selection activeCell="B67" sqref="B67:F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217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218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44275</v>
      </c>
      <c r="B19" s="7">
        <v>22800</v>
      </c>
      <c r="C19" s="6">
        <v>44260</v>
      </c>
      <c r="D19" s="8">
        <v>51132</v>
      </c>
      <c r="E19" s="231">
        <v>22800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Fevereiro!E76</f>
        <v>25383.13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22800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11.49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48194.62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48194.62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v>20090.62</v>
      </c>
      <c r="C53" s="88">
        <v>19939.650000000001</v>
      </c>
      <c r="D53" s="88">
        <v>113.2</v>
      </c>
      <c r="E53" s="88">
        <f>C53+D53</f>
        <v>20052.850000000002</v>
      </c>
      <c r="F53" s="91">
        <f>B53</f>
        <v>20090.62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v>2.19</v>
      </c>
      <c r="C67" s="88">
        <v>0</v>
      </c>
      <c r="D67" s="89">
        <f>B67</f>
        <v>2.19</v>
      </c>
      <c r="E67" s="89">
        <f t="shared" si="0"/>
        <v>2.19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20092.809999999998</v>
      </c>
      <c r="C69" s="88">
        <f>SUM(C53:C68)</f>
        <v>19939.650000000001</v>
      </c>
      <c r="D69" s="89">
        <f>SUM(D53:D68)</f>
        <v>115.39</v>
      </c>
      <c r="E69" s="89">
        <f t="shared" si="0"/>
        <v>20055.04</v>
      </c>
      <c r="F69" s="89">
        <f>SUM(F53:F68)</f>
        <v>20090.62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>
      <c r="A71" s="224" t="s">
        <v>49</v>
      </c>
      <c r="B71" s="224"/>
      <c r="C71" s="224"/>
      <c r="D71" s="224"/>
      <c r="E71" s="224"/>
      <c r="F71" s="224"/>
    </row>
    <row r="72" spans="1:9" ht="12.75" customHeight="1" x14ac:dyDescent="0.25">
      <c r="A72" s="219" t="s">
        <v>50</v>
      </c>
      <c r="B72" s="219"/>
      <c r="C72" s="219"/>
      <c r="D72" s="219"/>
      <c r="E72" s="220">
        <f>E36</f>
        <v>48194.62</v>
      </c>
      <c r="F72" s="220"/>
      <c r="H72" s="36">
        <v>22818.35</v>
      </c>
      <c r="I72" s="214">
        <f>H72-H73</f>
        <v>307.61999999999898</v>
      </c>
    </row>
    <row r="73" spans="1:9" x14ac:dyDescent="0.25">
      <c r="A73" s="219" t="s">
        <v>51</v>
      </c>
      <c r="B73" s="219"/>
      <c r="C73" s="219"/>
      <c r="D73" s="219"/>
      <c r="E73" s="220">
        <f>C69+D69</f>
        <v>20055.04</v>
      </c>
      <c r="F73" s="220"/>
      <c r="H73" s="36">
        <v>22510.73</v>
      </c>
      <c r="I73" s="215"/>
    </row>
    <row r="74" spans="1:9" ht="14.25" customHeight="1" x14ac:dyDescent="0.25">
      <c r="A74" s="219" t="s">
        <v>52</v>
      </c>
      <c r="B74" s="219"/>
      <c r="C74" s="219"/>
      <c r="D74" s="219"/>
      <c r="E74" s="220">
        <f>E33-(E73-E35)</f>
        <v>28139.58</v>
      </c>
      <c r="F74" s="220"/>
    </row>
    <row r="75" spans="1:9" ht="13.5" customHeight="1" x14ac:dyDescent="0.25">
      <c r="A75" s="219" t="s">
        <v>53</v>
      </c>
      <c r="B75" s="219"/>
      <c r="C75" s="219"/>
      <c r="D75" s="219"/>
      <c r="E75" s="220">
        <v>0</v>
      </c>
      <c r="F75" s="220"/>
    </row>
    <row r="76" spans="1:9" ht="14.25" customHeight="1" x14ac:dyDescent="0.25">
      <c r="A76" s="219" t="s">
        <v>54</v>
      </c>
      <c r="B76" s="219"/>
      <c r="C76" s="219"/>
      <c r="D76" s="219"/>
      <c r="E76" s="220">
        <f>E74-E75</f>
        <v>28139.58</v>
      </c>
      <c r="F76" s="220"/>
    </row>
    <row r="77" spans="1:9" ht="17.25" customHeight="1" x14ac:dyDescent="0.25">
      <c r="A77" s="216" t="s">
        <v>55</v>
      </c>
      <c r="B77" s="216"/>
      <c r="C77" s="216"/>
      <c r="D77" s="216"/>
      <c r="E77" s="216"/>
      <c r="F77" s="216"/>
    </row>
    <row r="78" spans="1:9" ht="17.25" customHeight="1" x14ac:dyDescent="0.25">
      <c r="A78" s="216"/>
      <c r="B78" s="216"/>
      <c r="C78" s="216"/>
      <c r="D78" s="216"/>
      <c r="E78" s="216"/>
      <c r="F78" s="216"/>
    </row>
    <row r="79" spans="1:9" ht="17.25" customHeight="1" x14ac:dyDescent="0.25">
      <c r="A79" s="19"/>
      <c r="B79" s="19"/>
      <c r="C79" s="19"/>
      <c r="D79" s="19"/>
      <c r="E79" s="19"/>
      <c r="F79" s="19"/>
    </row>
    <row r="80" spans="1:9" ht="15.95" customHeight="1" x14ac:dyDescent="0.25">
      <c r="A80" s="217" t="s">
        <v>225</v>
      </c>
      <c r="B80" s="217"/>
      <c r="C80" s="217"/>
      <c r="D80" s="217"/>
      <c r="E80" s="217"/>
      <c r="F80" s="217"/>
    </row>
    <row r="81" spans="1:6" ht="13.5" customHeight="1" x14ac:dyDescent="0.25">
      <c r="A81" s="218"/>
      <c r="B81" s="218"/>
      <c r="C81" s="218"/>
      <c r="D81" s="218"/>
      <c r="E81" s="218"/>
      <c r="F81" s="218"/>
    </row>
    <row r="82" spans="1:6" ht="13.5" customHeight="1" x14ac:dyDescent="0.25">
      <c r="A82" s="20" t="s">
        <v>56</v>
      </c>
      <c r="B82" s="20"/>
      <c r="C82" s="20"/>
      <c r="D82" s="20"/>
      <c r="E82" s="20"/>
      <c r="F82" s="20"/>
    </row>
    <row r="83" spans="1:6" x14ac:dyDescent="0.25">
      <c r="A83" s="21"/>
      <c r="B83" s="21"/>
      <c r="C83" s="21"/>
      <c r="D83" s="21"/>
      <c r="E83" s="21"/>
      <c r="F83" s="21"/>
    </row>
    <row r="92" spans="1:6" ht="25.5" customHeight="1" x14ac:dyDescent="0.25"/>
  </sheetData>
  <mergeCells count="60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I72:I73"/>
    <mergeCell ref="A73:D73"/>
    <mergeCell ref="E73:F73"/>
    <mergeCell ref="A37:F37"/>
    <mergeCell ref="A38:F38"/>
    <mergeCell ref="A41:F41"/>
    <mergeCell ref="A50:A51"/>
    <mergeCell ref="B50:B51"/>
    <mergeCell ref="F50:F51"/>
    <mergeCell ref="B52:F52"/>
    <mergeCell ref="A70:F70"/>
    <mergeCell ref="A71:F71"/>
    <mergeCell ref="A72:D72"/>
    <mergeCell ref="E72:F72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2:C40"/>
  <sheetViews>
    <sheetView workbookViewId="0">
      <selection activeCell="F13" sqref="F13"/>
    </sheetView>
  </sheetViews>
  <sheetFormatPr defaultRowHeight="15" x14ac:dyDescent="0.25"/>
  <cols>
    <col min="1" max="1" width="32.140625" customWidth="1"/>
    <col min="2" max="2" width="13.28515625" bestFit="1" customWidth="1"/>
    <col min="3" max="3" width="46.28515625" customWidth="1"/>
  </cols>
  <sheetData>
    <row r="12" spans="1:3" ht="18.75" x14ac:dyDescent="0.25">
      <c r="A12" s="285" t="s">
        <v>201</v>
      </c>
      <c r="B12" s="285"/>
      <c r="C12" s="285"/>
    </row>
    <row r="28" spans="1:3" ht="15.75" x14ac:dyDescent="0.25">
      <c r="A28" s="84" t="s">
        <v>109</v>
      </c>
      <c r="B28" s="84" t="s">
        <v>162</v>
      </c>
      <c r="C28" s="84" t="s">
        <v>195</v>
      </c>
    </row>
    <row r="29" spans="1:3" ht="21" customHeight="1" x14ac:dyDescent="0.25">
      <c r="A29" s="85" t="s">
        <v>196</v>
      </c>
      <c r="B29" s="86">
        <v>6905093</v>
      </c>
      <c r="C29" s="84"/>
    </row>
    <row r="30" spans="1:3" ht="23.25" customHeight="1" x14ac:dyDescent="0.25">
      <c r="A30" s="85" t="s">
        <v>197</v>
      </c>
      <c r="B30" s="87" t="s">
        <v>198</v>
      </c>
      <c r="C30" s="84"/>
    </row>
    <row r="31" spans="1:3" ht="25.5" customHeight="1" x14ac:dyDescent="0.25">
      <c r="A31" s="85" t="s">
        <v>199</v>
      </c>
      <c r="B31" s="87" t="s">
        <v>200</v>
      </c>
      <c r="C31" s="84"/>
    </row>
    <row r="40" spans="1:3" x14ac:dyDescent="0.25">
      <c r="A40" s="265" t="s">
        <v>117</v>
      </c>
      <c r="B40" s="265"/>
      <c r="C40" s="265"/>
    </row>
  </sheetData>
  <mergeCells count="2">
    <mergeCell ref="A12:C12"/>
    <mergeCell ref="A40:C4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D24"/>
  <sheetViews>
    <sheetView workbookViewId="0">
      <selection activeCell="F16" sqref="F16"/>
    </sheetView>
  </sheetViews>
  <sheetFormatPr defaultRowHeight="15" x14ac:dyDescent="0.25"/>
  <cols>
    <col min="1" max="1" width="18.7109375" customWidth="1"/>
    <col min="2" max="2" width="14.28515625" bestFit="1" customWidth="1"/>
    <col min="3" max="4" width="13.28515625" bestFit="1" customWidth="1"/>
  </cols>
  <sheetData>
    <row r="2" spans="1:4" x14ac:dyDescent="0.25">
      <c r="A2" s="289" t="s">
        <v>70</v>
      </c>
      <c r="B2" s="289"/>
      <c r="C2" s="289"/>
      <c r="D2" s="289"/>
    </row>
    <row r="3" spans="1:4" x14ac:dyDescent="0.25">
      <c r="A3" s="22" t="s">
        <v>58</v>
      </c>
      <c r="B3" s="23">
        <v>19617.16</v>
      </c>
      <c r="C3" s="290">
        <f>SUM(B3:B4)</f>
        <v>21186.45</v>
      </c>
      <c r="D3" s="30"/>
    </row>
    <row r="4" spans="1:4" x14ac:dyDescent="0.25">
      <c r="A4" s="22" t="s">
        <v>59</v>
      </c>
      <c r="B4" s="23">
        <v>1569.29</v>
      </c>
      <c r="C4" s="291"/>
      <c r="D4" s="31"/>
    </row>
    <row r="5" spans="1:4" x14ac:dyDescent="0.25">
      <c r="A5" s="24" t="s">
        <v>59</v>
      </c>
      <c r="B5" s="25">
        <v>1569.29</v>
      </c>
      <c r="C5" s="292">
        <f>SUM(B5:B8)+5037.44</f>
        <v>21078.21</v>
      </c>
      <c r="D5" s="32"/>
    </row>
    <row r="6" spans="1:4" x14ac:dyDescent="0.25">
      <c r="A6" s="24" t="s">
        <v>65</v>
      </c>
      <c r="B6" s="25">
        <v>1713.55</v>
      </c>
      <c r="C6" s="293"/>
      <c r="D6" s="32"/>
    </row>
    <row r="7" spans="1:4" x14ac:dyDescent="0.25">
      <c r="A7" s="24" t="s">
        <v>66</v>
      </c>
      <c r="B7" s="25">
        <f>1150.28+166.65</f>
        <v>1316.93</v>
      </c>
      <c r="C7" s="293"/>
      <c r="D7" s="32"/>
    </row>
    <row r="8" spans="1:4" x14ac:dyDescent="0.25">
      <c r="A8" s="33" t="s">
        <v>67</v>
      </c>
      <c r="B8" s="34">
        <v>11441</v>
      </c>
      <c r="C8" s="293"/>
      <c r="D8" s="32"/>
    </row>
    <row r="9" spans="1:4" x14ac:dyDescent="0.25">
      <c r="A9" s="26" t="s">
        <v>60</v>
      </c>
      <c r="B9" s="27">
        <v>14282</v>
      </c>
      <c r="C9" s="294">
        <f>SUM(B9:B14)</f>
        <v>19470.330000000002</v>
      </c>
      <c r="D9" s="295">
        <f>C9+C15+C18</f>
        <v>24546.280000000002</v>
      </c>
    </row>
    <row r="10" spans="1:4" x14ac:dyDescent="0.25">
      <c r="A10" s="26" t="s">
        <v>69</v>
      </c>
      <c r="B10" s="27">
        <v>102.67</v>
      </c>
      <c r="C10" s="294"/>
      <c r="D10" s="295"/>
    </row>
    <row r="11" spans="1:4" x14ac:dyDescent="0.25">
      <c r="A11" s="26" t="s">
        <v>61</v>
      </c>
      <c r="B11" s="27">
        <f>4977.34</f>
        <v>4977.34</v>
      </c>
      <c r="C11" s="294"/>
      <c r="D11" s="295"/>
    </row>
    <row r="12" spans="1:4" x14ac:dyDescent="0.25">
      <c r="A12" s="26" t="s">
        <v>62</v>
      </c>
      <c r="B12" s="27">
        <v>0</v>
      </c>
      <c r="C12" s="294"/>
      <c r="D12" s="295"/>
    </row>
    <row r="13" spans="1:4" x14ac:dyDescent="0.25">
      <c r="A13" s="26" t="s">
        <v>63</v>
      </c>
      <c r="B13" s="27">
        <v>108.32</v>
      </c>
      <c r="C13" s="294"/>
      <c r="D13" s="295"/>
    </row>
    <row r="14" spans="1:4" x14ac:dyDescent="0.25">
      <c r="A14" s="26" t="s">
        <v>64</v>
      </c>
      <c r="B14" s="27">
        <v>0</v>
      </c>
      <c r="C14" s="294"/>
      <c r="D14" s="295"/>
    </row>
    <row r="15" spans="1:4" x14ac:dyDescent="0.25">
      <c r="A15" s="28" t="s">
        <v>59</v>
      </c>
      <c r="B15" s="29">
        <v>1443.84</v>
      </c>
      <c r="C15" s="296">
        <f>SUM(B15:B17)</f>
        <v>5063.12</v>
      </c>
      <c r="D15" s="295"/>
    </row>
    <row r="16" spans="1:4" x14ac:dyDescent="0.25">
      <c r="A16" s="28" t="s">
        <v>65</v>
      </c>
      <c r="B16" s="29">
        <v>1626.06</v>
      </c>
      <c r="C16" s="296"/>
      <c r="D16" s="295"/>
    </row>
    <row r="17" spans="1:4" x14ac:dyDescent="0.25">
      <c r="A17" s="28" t="s">
        <v>66</v>
      </c>
      <c r="B17" s="29">
        <v>1993.22</v>
      </c>
      <c r="C17" s="296"/>
      <c r="D17" s="295"/>
    </row>
    <row r="18" spans="1:4" x14ac:dyDescent="0.25">
      <c r="A18" s="286" t="s">
        <v>68</v>
      </c>
      <c r="B18" s="286"/>
      <c r="C18" s="35">
        <v>12.83</v>
      </c>
      <c r="D18" s="295"/>
    </row>
    <row r="22" spans="1:4" x14ac:dyDescent="0.25">
      <c r="A22" s="36">
        <v>29762.82</v>
      </c>
      <c r="B22" s="287">
        <f>SUM(A22:A24)</f>
        <v>30070.44</v>
      </c>
      <c r="C22" s="288" t="e">
        <f>B22-#REF!</f>
        <v>#REF!</v>
      </c>
    </row>
    <row r="23" spans="1:4" x14ac:dyDescent="0.25">
      <c r="A23" s="36">
        <f>Janeiro!I72</f>
        <v>307.61999999999898</v>
      </c>
      <c r="B23" s="287"/>
      <c r="C23" s="288"/>
    </row>
    <row r="24" spans="1:4" x14ac:dyDescent="0.25">
      <c r="A24" s="36">
        <v>0</v>
      </c>
      <c r="B24" s="287"/>
      <c r="C24" s="288"/>
    </row>
  </sheetData>
  <mergeCells count="9">
    <mergeCell ref="A18:B18"/>
    <mergeCell ref="B22:B24"/>
    <mergeCell ref="C22:C24"/>
    <mergeCell ref="A2:D2"/>
    <mergeCell ref="C3:C4"/>
    <mergeCell ref="C5:C8"/>
    <mergeCell ref="C9:C14"/>
    <mergeCell ref="D9:D18"/>
    <mergeCell ref="C15:C1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I92"/>
  <sheetViews>
    <sheetView topLeftCell="A61" workbookViewId="0">
      <selection activeCell="B67" sqref="B67:F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226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227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44306</v>
      </c>
      <c r="B19" s="7">
        <v>22800</v>
      </c>
      <c r="C19" s="6">
        <v>44306</v>
      </c>
      <c r="D19" s="8">
        <v>200952</v>
      </c>
      <c r="E19" s="231">
        <v>22800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Março!E76</f>
        <v>28139.58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22800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15.05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50954.630000000005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50954.630000000005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f>18601.9+1488.09</f>
        <v>20089.990000000002</v>
      </c>
      <c r="C53" s="88">
        <v>19962.650000000001</v>
      </c>
      <c r="D53" s="88">
        <v>113.2</v>
      </c>
      <c r="E53" s="88">
        <f>C53+D53</f>
        <v>20075.850000000002</v>
      </c>
      <c r="F53" s="91">
        <v>20070.849999999999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v>4.37</v>
      </c>
      <c r="C67" s="88">
        <v>0</v>
      </c>
      <c r="D67" s="89">
        <f>B67</f>
        <v>4.37</v>
      </c>
      <c r="E67" s="89">
        <f t="shared" si="0"/>
        <v>4.37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20094.36</v>
      </c>
      <c r="C69" s="88">
        <f>SUM(C53:C68)</f>
        <v>19962.650000000001</v>
      </c>
      <c r="D69" s="89">
        <f>SUM(D53:D68)</f>
        <v>117.57000000000001</v>
      </c>
      <c r="E69" s="89">
        <f t="shared" si="0"/>
        <v>20080.22</v>
      </c>
      <c r="F69" s="89">
        <f>SUM(F53:F68)</f>
        <v>20070.849999999999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>
      <c r="A71" s="224" t="s">
        <v>49</v>
      </c>
      <c r="B71" s="224"/>
      <c r="C71" s="224"/>
      <c r="D71" s="224"/>
      <c r="E71" s="224"/>
      <c r="F71" s="224"/>
    </row>
    <row r="72" spans="1:9" ht="12.75" customHeight="1" x14ac:dyDescent="0.25">
      <c r="A72" s="219" t="s">
        <v>50</v>
      </c>
      <c r="B72" s="219"/>
      <c r="C72" s="219"/>
      <c r="D72" s="219"/>
      <c r="E72" s="220">
        <f>E36</f>
        <v>50954.630000000005</v>
      </c>
      <c r="F72" s="220"/>
      <c r="H72" s="36">
        <v>22818.35</v>
      </c>
      <c r="I72" s="214">
        <f>H72-H73</f>
        <v>307.61999999999898</v>
      </c>
    </row>
    <row r="73" spans="1:9" x14ac:dyDescent="0.25">
      <c r="A73" s="219" t="s">
        <v>51</v>
      </c>
      <c r="B73" s="219"/>
      <c r="C73" s="219"/>
      <c r="D73" s="219"/>
      <c r="E73" s="220">
        <f>C69+D69</f>
        <v>20080.22</v>
      </c>
      <c r="F73" s="220"/>
      <c r="H73" s="36">
        <v>22510.73</v>
      </c>
      <c r="I73" s="215"/>
    </row>
    <row r="74" spans="1:9" ht="14.25" customHeight="1" x14ac:dyDescent="0.25">
      <c r="A74" s="219" t="s">
        <v>52</v>
      </c>
      <c r="B74" s="219"/>
      <c r="C74" s="219"/>
      <c r="D74" s="219"/>
      <c r="E74" s="220">
        <f>E33-(E73-E35)</f>
        <v>30874.410000000003</v>
      </c>
      <c r="F74" s="220"/>
    </row>
    <row r="75" spans="1:9" ht="13.5" customHeight="1" x14ac:dyDescent="0.25">
      <c r="A75" s="219" t="s">
        <v>53</v>
      </c>
      <c r="B75" s="219"/>
      <c r="C75" s="219"/>
      <c r="D75" s="219"/>
      <c r="E75" s="220">
        <v>0</v>
      </c>
      <c r="F75" s="220"/>
    </row>
    <row r="76" spans="1:9" ht="14.25" customHeight="1" x14ac:dyDescent="0.25">
      <c r="A76" s="219" t="s">
        <v>54</v>
      </c>
      <c r="B76" s="219"/>
      <c r="C76" s="219"/>
      <c r="D76" s="219"/>
      <c r="E76" s="220">
        <f>E74-E75</f>
        <v>30874.410000000003</v>
      </c>
      <c r="F76" s="220"/>
    </row>
    <row r="77" spans="1:9" ht="17.25" customHeight="1" x14ac:dyDescent="0.25">
      <c r="A77" s="216" t="s">
        <v>55</v>
      </c>
      <c r="B77" s="216"/>
      <c r="C77" s="216"/>
      <c r="D77" s="216"/>
      <c r="E77" s="216"/>
      <c r="F77" s="216"/>
    </row>
    <row r="78" spans="1:9" ht="17.25" customHeight="1" x14ac:dyDescent="0.25">
      <c r="A78" s="216"/>
      <c r="B78" s="216"/>
      <c r="C78" s="216"/>
      <c r="D78" s="216"/>
      <c r="E78" s="216"/>
      <c r="F78" s="216"/>
    </row>
    <row r="79" spans="1:9" ht="17.25" customHeight="1" x14ac:dyDescent="0.25">
      <c r="A79" s="19"/>
      <c r="B79" s="19"/>
      <c r="C79" s="19"/>
      <c r="D79" s="19"/>
      <c r="E79" s="19"/>
      <c r="F79" s="19"/>
    </row>
    <row r="80" spans="1:9" ht="15.95" customHeight="1" x14ac:dyDescent="0.25">
      <c r="A80" s="217" t="s">
        <v>234</v>
      </c>
      <c r="B80" s="217"/>
      <c r="C80" s="217"/>
      <c r="D80" s="217"/>
      <c r="E80" s="217"/>
      <c r="F80" s="217"/>
    </row>
    <row r="81" spans="1:6" ht="13.5" customHeight="1" x14ac:dyDescent="0.25">
      <c r="A81" s="218"/>
      <c r="B81" s="218"/>
      <c r="C81" s="218"/>
      <c r="D81" s="218"/>
      <c r="E81" s="218"/>
      <c r="F81" s="218"/>
    </row>
    <row r="82" spans="1:6" ht="13.5" customHeight="1" x14ac:dyDescent="0.25">
      <c r="A82" s="20" t="s">
        <v>56</v>
      </c>
      <c r="B82" s="20"/>
      <c r="C82" s="20"/>
      <c r="D82" s="20"/>
      <c r="E82" s="20"/>
      <c r="F82" s="20"/>
    </row>
    <row r="83" spans="1:6" x14ac:dyDescent="0.25">
      <c r="A83" s="21"/>
      <c r="B83" s="21"/>
      <c r="C83" s="21"/>
      <c r="D83" s="21"/>
      <c r="E83" s="21"/>
      <c r="F83" s="21"/>
    </row>
    <row r="92" spans="1:6" ht="25.5" customHeight="1" x14ac:dyDescent="0.25"/>
  </sheetData>
  <mergeCells count="60"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  <mergeCell ref="I72:I73"/>
    <mergeCell ref="A73:D73"/>
    <mergeCell ref="E73:F73"/>
    <mergeCell ref="A37:F37"/>
    <mergeCell ref="A38:F38"/>
    <mergeCell ref="A41:F41"/>
    <mergeCell ref="A50:A51"/>
    <mergeCell ref="B50:B51"/>
    <mergeCell ref="F50:F51"/>
    <mergeCell ref="B52:F52"/>
    <mergeCell ref="A70:F70"/>
    <mergeCell ref="A71:F71"/>
    <mergeCell ref="A72:D72"/>
    <mergeCell ref="E72:F72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I92"/>
  <sheetViews>
    <sheetView topLeftCell="A61" workbookViewId="0">
      <selection activeCell="B67" sqref="B67:F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235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236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44336</v>
      </c>
      <c r="B19" s="7">
        <v>22800</v>
      </c>
      <c r="C19" s="6">
        <v>44336</v>
      </c>
      <c r="D19" s="8">
        <v>201139</v>
      </c>
      <c r="E19" s="231">
        <v>22800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Abril!E76</f>
        <v>30874.410000000003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22800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27.55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53701.960000000006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53701.960000000006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v>20432.7</v>
      </c>
      <c r="C53" s="88">
        <v>19957.650000000001</v>
      </c>
      <c r="D53" s="88">
        <f>1834.67-10.55</f>
        <v>1824.1200000000001</v>
      </c>
      <c r="E53" s="88">
        <f>C53+D53</f>
        <v>21781.77</v>
      </c>
      <c r="F53" s="91">
        <f>19045.45-113.2</f>
        <v>18932.25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v>10.55</v>
      </c>
      <c r="C67" s="88">
        <v>0</v>
      </c>
      <c r="D67" s="89">
        <f>B67</f>
        <v>10.55</v>
      </c>
      <c r="E67" s="89">
        <f t="shared" si="0"/>
        <v>10.55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20443.25</v>
      </c>
      <c r="C69" s="88">
        <f>SUM(C53:C68)</f>
        <v>19957.650000000001</v>
      </c>
      <c r="D69" s="89">
        <f>SUM(D53:D68)</f>
        <v>1834.67</v>
      </c>
      <c r="E69" s="89">
        <f t="shared" si="0"/>
        <v>21792.32</v>
      </c>
      <c r="F69" s="89">
        <f>SUM(F53:F68)</f>
        <v>18932.25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>
      <c r="A71" s="224" t="s">
        <v>49</v>
      </c>
      <c r="B71" s="224"/>
      <c r="C71" s="224"/>
      <c r="D71" s="224"/>
      <c r="E71" s="224"/>
      <c r="F71" s="224"/>
    </row>
    <row r="72" spans="1:9" ht="12.75" customHeight="1" x14ac:dyDescent="0.25">
      <c r="A72" s="219" t="s">
        <v>50</v>
      </c>
      <c r="B72" s="219"/>
      <c r="C72" s="219"/>
      <c r="D72" s="219"/>
      <c r="E72" s="220">
        <f>E36</f>
        <v>53701.960000000006</v>
      </c>
      <c r="F72" s="220"/>
      <c r="H72" s="36">
        <v>22818.35</v>
      </c>
      <c r="I72" s="214">
        <f>H72-H73</f>
        <v>307.61999999999898</v>
      </c>
    </row>
    <row r="73" spans="1:9" x14ac:dyDescent="0.25">
      <c r="A73" s="219" t="s">
        <v>51</v>
      </c>
      <c r="B73" s="219"/>
      <c r="C73" s="219"/>
      <c r="D73" s="219"/>
      <c r="E73" s="220">
        <f>C69+D69</f>
        <v>21792.32</v>
      </c>
      <c r="F73" s="220"/>
      <c r="H73" s="36">
        <v>22510.73</v>
      </c>
      <c r="I73" s="215"/>
    </row>
    <row r="74" spans="1:9" ht="14.25" customHeight="1" x14ac:dyDescent="0.25">
      <c r="A74" s="219" t="s">
        <v>52</v>
      </c>
      <c r="B74" s="219"/>
      <c r="C74" s="219"/>
      <c r="D74" s="219"/>
      <c r="E74" s="220">
        <f>E33-(E73-E35)</f>
        <v>31909.640000000007</v>
      </c>
      <c r="F74" s="220"/>
    </row>
    <row r="75" spans="1:9" ht="13.5" customHeight="1" x14ac:dyDescent="0.25">
      <c r="A75" s="219" t="s">
        <v>53</v>
      </c>
      <c r="B75" s="219"/>
      <c r="C75" s="219"/>
      <c r="D75" s="219"/>
      <c r="E75" s="220">
        <v>0</v>
      </c>
      <c r="F75" s="220"/>
    </row>
    <row r="76" spans="1:9" ht="14.25" customHeight="1" x14ac:dyDescent="0.25">
      <c r="A76" s="219" t="s">
        <v>54</v>
      </c>
      <c r="B76" s="219"/>
      <c r="C76" s="219"/>
      <c r="D76" s="219"/>
      <c r="E76" s="220">
        <f>E74-E75</f>
        <v>31909.640000000007</v>
      </c>
      <c r="F76" s="220"/>
    </row>
    <row r="77" spans="1:9" ht="17.25" customHeight="1" x14ac:dyDescent="0.25">
      <c r="A77" s="216" t="s">
        <v>55</v>
      </c>
      <c r="B77" s="216"/>
      <c r="C77" s="216"/>
      <c r="D77" s="216"/>
      <c r="E77" s="216"/>
      <c r="F77" s="216"/>
    </row>
    <row r="78" spans="1:9" ht="17.25" customHeight="1" x14ac:dyDescent="0.25">
      <c r="A78" s="216"/>
      <c r="B78" s="216"/>
      <c r="C78" s="216"/>
      <c r="D78" s="216"/>
      <c r="E78" s="216"/>
      <c r="F78" s="216"/>
    </row>
    <row r="79" spans="1:9" ht="17.25" customHeight="1" x14ac:dyDescent="0.25">
      <c r="A79" s="19"/>
      <c r="B79" s="19"/>
      <c r="C79" s="19"/>
      <c r="D79" s="19"/>
      <c r="E79" s="19"/>
      <c r="F79" s="19"/>
    </row>
    <row r="80" spans="1:9" ht="15.95" customHeight="1" x14ac:dyDescent="0.25">
      <c r="A80" s="217" t="s">
        <v>278</v>
      </c>
      <c r="B80" s="217"/>
      <c r="C80" s="217"/>
      <c r="D80" s="217"/>
      <c r="E80" s="217"/>
      <c r="F80" s="217"/>
    </row>
    <row r="81" spans="1:6" ht="13.5" customHeight="1" x14ac:dyDescent="0.25">
      <c r="A81" s="218"/>
      <c r="B81" s="218"/>
      <c r="C81" s="218"/>
      <c r="D81" s="218"/>
      <c r="E81" s="218"/>
      <c r="F81" s="218"/>
    </row>
    <row r="82" spans="1:6" ht="13.5" customHeight="1" x14ac:dyDescent="0.25">
      <c r="A82" s="20" t="s">
        <v>56</v>
      </c>
      <c r="B82" s="20"/>
      <c r="C82" s="20"/>
      <c r="D82" s="20"/>
      <c r="E82" s="20"/>
      <c r="F82" s="20"/>
    </row>
    <row r="83" spans="1:6" x14ac:dyDescent="0.25">
      <c r="A83" s="21"/>
      <c r="B83" s="21"/>
      <c r="C83" s="21"/>
      <c r="D83" s="21"/>
      <c r="E83" s="21"/>
      <c r="F83" s="21"/>
    </row>
    <row r="92" spans="1:6" ht="25.5" customHeight="1" x14ac:dyDescent="0.25"/>
  </sheetData>
  <mergeCells count="60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I72:I73"/>
    <mergeCell ref="A73:D73"/>
    <mergeCell ref="E73:F73"/>
    <mergeCell ref="A37:F37"/>
    <mergeCell ref="A38:F38"/>
    <mergeCell ref="A41:F41"/>
    <mergeCell ref="A50:A51"/>
    <mergeCell ref="B50:B51"/>
    <mergeCell ref="F50:F51"/>
    <mergeCell ref="B52:F52"/>
    <mergeCell ref="A70:F70"/>
    <mergeCell ref="A71:F71"/>
    <mergeCell ref="A72:D72"/>
    <mergeCell ref="E72:F72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</mergeCells>
  <pageMargins left="0.31496062992125984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I92"/>
  <sheetViews>
    <sheetView topLeftCell="A58" workbookViewId="0">
      <selection activeCell="B67" sqref="B67:F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289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236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44367</v>
      </c>
      <c r="B19" s="7">
        <v>22800</v>
      </c>
      <c r="C19" s="6">
        <v>44368</v>
      </c>
      <c r="D19" s="8">
        <v>211418</v>
      </c>
      <c r="E19" s="231">
        <v>22800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Maio!E76</f>
        <v>31909.640000000007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22800</v>
      </c>
      <c r="F30" s="231"/>
    </row>
    <row r="31" spans="1:6" x14ac:dyDescent="0.25">
      <c r="A31" s="229" t="s">
        <v>16</v>
      </c>
      <c r="B31" s="229"/>
      <c r="C31" s="229"/>
      <c r="D31" s="10"/>
      <c r="E31" s="231"/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54709.640000000007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54709.640000000007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v>20175.12</v>
      </c>
      <c r="C53" s="88">
        <f>ConJunho!C18</f>
        <v>18932.25</v>
      </c>
      <c r="D53" s="88">
        <v>113.2</v>
      </c>
      <c r="E53" s="88">
        <f>C53+D53</f>
        <v>19045.45</v>
      </c>
      <c r="F53" s="91">
        <v>19700.38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v>55.3</v>
      </c>
      <c r="C67" s="88">
        <v>0</v>
      </c>
      <c r="D67" s="89">
        <f>B67</f>
        <v>55.3</v>
      </c>
      <c r="E67" s="89">
        <f t="shared" si="0"/>
        <v>55.3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20230.419999999998</v>
      </c>
      <c r="C69" s="88">
        <f>SUM(C53:C68)</f>
        <v>18932.25</v>
      </c>
      <c r="D69" s="89">
        <f>SUM(D53:D68)</f>
        <v>168.5</v>
      </c>
      <c r="E69" s="89">
        <f t="shared" si="0"/>
        <v>19100.75</v>
      </c>
      <c r="F69" s="89">
        <f>SUM(F53:F68)</f>
        <v>19700.38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>
      <c r="A71" s="224" t="s">
        <v>49</v>
      </c>
      <c r="B71" s="224"/>
      <c r="C71" s="224"/>
      <c r="D71" s="224"/>
      <c r="E71" s="224"/>
      <c r="F71" s="224"/>
    </row>
    <row r="72" spans="1:9" ht="12.75" customHeight="1" x14ac:dyDescent="0.25">
      <c r="A72" s="219" t="s">
        <v>50</v>
      </c>
      <c r="B72" s="219"/>
      <c r="C72" s="219"/>
      <c r="D72" s="219"/>
      <c r="E72" s="220">
        <f>E36</f>
        <v>54709.640000000007</v>
      </c>
      <c r="F72" s="220"/>
      <c r="H72" s="36">
        <v>22818.35</v>
      </c>
      <c r="I72" s="214">
        <f>H72-H73</f>
        <v>307.61999999999898</v>
      </c>
    </row>
    <row r="73" spans="1:9" x14ac:dyDescent="0.25">
      <c r="A73" s="219" t="s">
        <v>51</v>
      </c>
      <c r="B73" s="219"/>
      <c r="C73" s="219"/>
      <c r="D73" s="219"/>
      <c r="E73" s="220">
        <f>C69+D69</f>
        <v>19100.75</v>
      </c>
      <c r="F73" s="220"/>
      <c r="H73" s="36">
        <v>22510.73</v>
      </c>
      <c r="I73" s="215"/>
    </row>
    <row r="74" spans="1:9" ht="14.25" customHeight="1" x14ac:dyDescent="0.25">
      <c r="A74" s="219" t="s">
        <v>52</v>
      </c>
      <c r="B74" s="219"/>
      <c r="C74" s="219"/>
      <c r="D74" s="219"/>
      <c r="E74" s="220">
        <f>E33-(E73-E35)</f>
        <v>35608.890000000007</v>
      </c>
      <c r="F74" s="220"/>
    </row>
    <row r="75" spans="1:9" ht="13.5" customHeight="1" x14ac:dyDescent="0.25">
      <c r="A75" s="219" t="s">
        <v>53</v>
      </c>
      <c r="B75" s="219"/>
      <c r="C75" s="219"/>
      <c r="D75" s="219"/>
      <c r="E75" s="220">
        <v>0</v>
      </c>
      <c r="F75" s="220"/>
    </row>
    <row r="76" spans="1:9" ht="14.25" customHeight="1" x14ac:dyDescent="0.25">
      <c r="A76" s="219" t="s">
        <v>54</v>
      </c>
      <c r="B76" s="219"/>
      <c r="C76" s="219"/>
      <c r="D76" s="219"/>
      <c r="E76" s="220">
        <f>E74-E75</f>
        <v>35608.890000000007</v>
      </c>
      <c r="F76" s="220"/>
    </row>
    <row r="77" spans="1:9" ht="17.25" customHeight="1" x14ac:dyDescent="0.25">
      <c r="A77" s="216" t="s">
        <v>55</v>
      </c>
      <c r="B77" s="216"/>
      <c r="C77" s="216"/>
      <c r="D77" s="216"/>
      <c r="E77" s="216"/>
      <c r="F77" s="216"/>
    </row>
    <row r="78" spans="1:9" ht="17.25" customHeight="1" x14ac:dyDescent="0.25">
      <c r="A78" s="216"/>
      <c r="B78" s="216"/>
      <c r="C78" s="216"/>
      <c r="D78" s="216"/>
      <c r="E78" s="216"/>
      <c r="F78" s="216"/>
    </row>
    <row r="79" spans="1:9" ht="17.25" customHeight="1" x14ac:dyDescent="0.25">
      <c r="A79" s="19"/>
      <c r="B79" s="19"/>
      <c r="C79" s="19"/>
      <c r="D79" s="19"/>
      <c r="E79" s="19"/>
      <c r="F79" s="19"/>
    </row>
    <row r="80" spans="1:9" ht="15.95" customHeight="1" x14ac:dyDescent="0.25">
      <c r="A80" s="217" t="s">
        <v>278</v>
      </c>
      <c r="B80" s="217"/>
      <c r="C80" s="217"/>
      <c r="D80" s="217"/>
      <c r="E80" s="217"/>
      <c r="F80" s="217"/>
    </row>
    <row r="81" spans="1:6" ht="13.5" customHeight="1" x14ac:dyDescent="0.25">
      <c r="A81" s="218"/>
      <c r="B81" s="218"/>
      <c r="C81" s="218"/>
      <c r="D81" s="218"/>
      <c r="E81" s="218"/>
      <c r="F81" s="218"/>
    </row>
    <row r="82" spans="1:6" ht="13.5" customHeight="1" x14ac:dyDescent="0.25">
      <c r="A82" s="20" t="s">
        <v>56</v>
      </c>
      <c r="B82" s="20"/>
      <c r="C82" s="20"/>
      <c r="D82" s="20"/>
      <c r="E82" s="20"/>
      <c r="F82" s="20"/>
    </row>
    <row r="83" spans="1:6" x14ac:dyDescent="0.25">
      <c r="A83" s="21"/>
      <c r="B83" s="21"/>
      <c r="C83" s="21"/>
      <c r="D83" s="21"/>
      <c r="E83" s="21"/>
      <c r="F83" s="21"/>
    </row>
    <row r="92" spans="1:6" ht="25.5" customHeight="1" x14ac:dyDescent="0.25"/>
  </sheetData>
  <mergeCells count="60"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  <mergeCell ref="I72:I73"/>
    <mergeCell ref="A73:D73"/>
    <mergeCell ref="E73:F73"/>
    <mergeCell ref="A37:F37"/>
    <mergeCell ref="A38:F38"/>
    <mergeCell ref="A41:F41"/>
    <mergeCell ref="A50:A51"/>
    <mergeCell ref="B50:B51"/>
    <mergeCell ref="F50:F51"/>
    <mergeCell ref="B52:F52"/>
    <mergeCell ref="A70:F70"/>
    <mergeCell ref="A71:F71"/>
    <mergeCell ref="A72:D72"/>
    <mergeCell ref="E72:F72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I128"/>
  <sheetViews>
    <sheetView topLeftCell="A52" workbookViewId="0">
      <selection activeCell="B67" sqref="B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290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291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44397</v>
      </c>
      <c r="B19" s="7">
        <v>22800</v>
      </c>
      <c r="C19" s="6">
        <v>44397</v>
      </c>
      <c r="D19" s="8">
        <v>201136</v>
      </c>
      <c r="E19" s="231">
        <v>22800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Junho!E76</f>
        <v>35608.890000000007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22800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90.54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58499.430000000008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58499.430000000008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v>22211.57</v>
      </c>
      <c r="C53" s="88">
        <f>ConJulho!C18</f>
        <v>19506.96</v>
      </c>
      <c r="D53" s="88">
        <f>ConJulho!C23-B67</f>
        <v>5213.09</v>
      </c>
      <c r="E53" s="88">
        <f>C53+D53</f>
        <v>24720.05</v>
      </c>
      <c r="F53" s="91">
        <v>19700.38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f>ConJulho!C22</f>
        <v>69.790000000000006</v>
      </c>
      <c r="C67" s="88">
        <v>0</v>
      </c>
      <c r="D67" s="89">
        <f>B67</f>
        <v>69.790000000000006</v>
      </c>
      <c r="E67" s="89">
        <f t="shared" si="0"/>
        <v>69.790000000000006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22281.360000000001</v>
      </c>
      <c r="C69" s="88">
        <f>SUM(C53:C68)</f>
        <v>19506.96</v>
      </c>
      <c r="D69" s="89">
        <f>SUM(D53:D68)</f>
        <v>5282.88</v>
      </c>
      <c r="E69" s="89">
        <f t="shared" si="0"/>
        <v>24789.84</v>
      </c>
      <c r="F69" s="89">
        <f>SUM(F53:F68)</f>
        <v>19700.38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/>
    <row r="72" spans="1:9" ht="12.75" customHeight="1" x14ac:dyDescent="0.25">
      <c r="H72" s="36">
        <v>22818.35</v>
      </c>
      <c r="I72" s="161" t="e">
        <f>H72-#REF!</f>
        <v>#REF!</v>
      </c>
    </row>
    <row r="73" spans="1:9" ht="14.25" customHeight="1" x14ac:dyDescent="0.25"/>
    <row r="74" spans="1:9" ht="17.25" customHeight="1" x14ac:dyDescent="0.25">
      <c r="A74" s="224" t="s">
        <v>49</v>
      </c>
      <c r="B74" s="224"/>
      <c r="C74" s="224"/>
      <c r="D74" s="224"/>
      <c r="E74" s="224"/>
      <c r="F74" s="224"/>
    </row>
    <row r="75" spans="1:9" ht="17.25" customHeight="1" x14ac:dyDescent="0.25">
      <c r="A75" s="219" t="s">
        <v>50</v>
      </c>
      <c r="B75" s="219"/>
      <c r="C75" s="219"/>
      <c r="D75" s="219"/>
      <c r="E75" s="220">
        <f>E36</f>
        <v>58499.430000000008</v>
      </c>
      <c r="F75" s="220"/>
    </row>
    <row r="76" spans="1:9" ht="17.25" customHeight="1" x14ac:dyDescent="0.25">
      <c r="A76" s="219" t="s">
        <v>51</v>
      </c>
      <c r="B76" s="219"/>
      <c r="C76" s="219"/>
      <c r="D76" s="219"/>
      <c r="E76" s="220">
        <f>C69+D69</f>
        <v>24789.84</v>
      </c>
      <c r="F76" s="220"/>
    </row>
    <row r="77" spans="1:9" ht="15.95" customHeight="1" x14ac:dyDescent="0.25">
      <c r="A77" s="219" t="s">
        <v>52</v>
      </c>
      <c r="B77" s="219"/>
      <c r="C77" s="219"/>
      <c r="D77" s="219"/>
      <c r="E77" s="220">
        <f>E33-(E76-E35)</f>
        <v>33709.590000000011</v>
      </c>
      <c r="F77" s="220"/>
    </row>
    <row r="78" spans="1:9" ht="13.5" customHeight="1" x14ac:dyDescent="0.25">
      <c r="A78" s="219" t="s">
        <v>53</v>
      </c>
      <c r="B78" s="219"/>
      <c r="C78" s="219"/>
      <c r="D78" s="219"/>
      <c r="E78" s="220">
        <v>0</v>
      </c>
      <c r="F78" s="220"/>
    </row>
    <row r="79" spans="1:9" ht="13.5" customHeight="1" x14ac:dyDescent="0.25">
      <c r="A79" s="219" t="s">
        <v>54</v>
      </c>
      <c r="B79" s="219"/>
      <c r="C79" s="219"/>
      <c r="D79" s="219"/>
      <c r="E79" s="220">
        <f>E77-E78</f>
        <v>33709.590000000011</v>
      </c>
      <c r="F79" s="220"/>
    </row>
    <row r="80" spans="1:9" x14ac:dyDescent="0.25">
      <c r="A80" s="21"/>
      <c r="B80" s="21"/>
      <c r="C80" s="21"/>
      <c r="D80" s="21"/>
      <c r="E80" s="21"/>
      <c r="F80" s="21"/>
    </row>
    <row r="89" ht="25.5" customHeight="1" x14ac:dyDescent="0.25"/>
    <row r="102" spans="1:6" ht="30.75" customHeight="1" x14ac:dyDescent="0.25">
      <c r="A102" s="242" t="s">
        <v>55</v>
      </c>
      <c r="B102" s="242"/>
      <c r="C102" s="242"/>
      <c r="D102" s="242"/>
      <c r="E102" s="242"/>
      <c r="F102" s="242"/>
    </row>
    <row r="103" spans="1:6" ht="27" customHeight="1" x14ac:dyDescent="0.25">
      <c r="A103" s="242"/>
      <c r="B103" s="242"/>
      <c r="C103" s="242"/>
      <c r="D103" s="242"/>
      <c r="E103" s="242"/>
      <c r="F103" s="242"/>
    </row>
    <row r="104" spans="1:6" x14ac:dyDescent="0.25">
      <c r="A104" s="19"/>
      <c r="B104" s="19"/>
      <c r="C104" s="19"/>
      <c r="D104" s="19"/>
      <c r="E104" s="19"/>
      <c r="F104" s="19"/>
    </row>
    <row r="119" spans="1:6" x14ac:dyDescent="0.25">
      <c r="A119" s="243" t="s">
        <v>300</v>
      </c>
      <c r="B119" s="243"/>
      <c r="C119" s="243"/>
      <c r="D119" s="243"/>
      <c r="E119" s="243"/>
      <c r="F119" s="243"/>
    </row>
    <row r="120" spans="1:6" x14ac:dyDescent="0.25">
      <c r="A120" s="218"/>
      <c r="B120" s="218"/>
      <c r="C120" s="218"/>
      <c r="D120" s="218"/>
      <c r="E120" s="218"/>
      <c r="F120" s="218"/>
    </row>
    <row r="128" spans="1:6" x14ac:dyDescent="0.25">
      <c r="A128" s="164" t="s">
        <v>56</v>
      </c>
      <c r="B128" s="164"/>
      <c r="C128" s="164"/>
      <c r="D128" s="164"/>
      <c r="E128" s="164"/>
      <c r="F128" s="20"/>
    </row>
  </sheetData>
  <mergeCells count="59">
    <mergeCell ref="A102:F103"/>
    <mergeCell ref="A119:F119"/>
    <mergeCell ref="A120:F120"/>
    <mergeCell ref="A77:D77"/>
    <mergeCell ref="E77:F77"/>
    <mergeCell ref="A78:D78"/>
    <mergeCell ref="E78:F78"/>
    <mergeCell ref="A79:D79"/>
    <mergeCell ref="E79:F79"/>
    <mergeCell ref="A76:D76"/>
    <mergeCell ref="E76:F76"/>
    <mergeCell ref="A37:F37"/>
    <mergeCell ref="A38:F38"/>
    <mergeCell ref="A41:F41"/>
    <mergeCell ref="A50:A51"/>
    <mergeCell ref="B50:B51"/>
    <mergeCell ref="F50:F51"/>
    <mergeCell ref="B52:F52"/>
    <mergeCell ref="A70:F70"/>
    <mergeCell ref="A74:F74"/>
    <mergeCell ref="A75:D75"/>
    <mergeCell ref="E75:F75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7:I128"/>
  <sheetViews>
    <sheetView topLeftCell="A58" workbookViewId="0">
      <selection activeCell="B67" sqref="B67:F67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307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308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44428</v>
      </c>
      <c r="B19" s="7">
        <v>16640</v>
      </c>
      <c r="C19" s="6">
        <v>44397</v>
      </c>
      <c r="D19" s="8">
        <v>201441</v>
      </c>
      <c r="E19" s="231">
        <v>16640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Julho!E79</f>
        <v>33709.590000000011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16640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90.36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50439.950000000012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50439.950000000012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v>20967.02</v>
      </c>
      <c r="C53" s="88">
        <f>ConAgosto!C18</f>
        <v>16980.3</v>
      </c>
      <c r="D53" s="88">
        <f>ConAgosto!D20</f>
        <v>113.2</v>
      </c>
      <c r="E53" s="88">
        <f>C53+D53</f>
        <v>17093.5</v>
      </c>
      <c r="F53" s="91">
        <f>B53</f>
        <v>20967.02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f>ConAgosto!C21</f>
        <v>84.23</v>
      </c>
      <c r="C67" s="88">
        <v>0</v>
      </c>
      <c r="D67" s="89">
        <f>B67</f>
        <v>84.23</v>
      </c>
      <c r="E67" s="89">
        <f t="shared" si="0"/>
        <v>84.23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21051.25</v>
      </c>
      <c r="C69" s="88">
        <f>SUM(C53:C68)</f>
        <v>16980.3</v>
      </c>
      <c r="D69" s="89">
        <f>SUM(D53:D68)</f>
        <v>197.43</v>
      </c>
      <c r="E69" s="89">
        <f t="shared" si="0"/>
        <v>17177.73</v>
      </c>
      <c r="F69" s="89">
        <f>SUM(F53:F68)</f>
        <v>20967.02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/>
    <row r="72" spans="1:9" ht="12.75" customHeight="1" x14ac:dyDescent="0.25">
      <c r="H72" s="36">
        <v>22818.35</v>
      </c>
      <c r="I72" s="161" t="e">
        <f>H72-#REF!</f>
        <v>#REF!</v>
      </c>
    </row>
    <row r="73" spans="1:9" ht="14.25" customHeight="1" x14ac:dyDescent="0.25"/>
    <row r="74" spans="1:9" ht="17.25" customHeight="1" x14ac:dyDescent="0.25">
      <c r="A74" s="224" t="s">
        <v>49</v>
      </c>
      <c r="B74" s="224"/>
      <c r="C74" s="224"/>
      <c r="D74" s="224"/>
      <c r="E74" s="224"/>
      <c r="F74" s="224"/>
    </row>
    <row r="75" spans="1:9" ht="17.25" customHeight="1" x14ac:dyDescent="0.25">
      <c r="A75" s="219" t="s">
        <v>50</v>
      </c>
      <c r="B75" s="219"/>
      <c r="C75" s="219"/>
      <c r="D75" s="219"/>
      <c r="E75" s="220">
        <f>E36</f>
        <v>50439.950000000012</v>
      </c>
      <c r="F75" s="220"/>
    </row>
    <row r="76" spans="1:9" ht="17.25" customHeight="1" x14ac:dyDescent="0.25">
      <c r="A76" s="219" t="s">
        <v>51</v>
      </c>
      <c r="B76" s="219"/>
      <c r="C76" s="219"/>
      <c r="D76" s="219"/>
      <c r="E76" s="220">
        <f>C69+D69</f>
        <v>17177.73</v>
      </c>
      <c r="F76" s="220"/>
    </row>
    <row r="77" spans="1:9" ht="15.95" customHeight="1" x14ac:dyDescent="0.25">
      <c r="A77" s="219" t="s">
        <v>52</v>
      </c>
      <c r="B77" s="219"/>
      <c r="C77" s="219"/>
      <c r="D77" s="219"/>
      <c r="E77" s="220">
        <f>E33-(E76-E35)</f>
        <v>33262.220000000016</v>
      </c>
      <c r="F77" s="220"/>
    </row>
    <row r="78" spans="1:9" ht="13.5" customHeight="1" x14ac:dyDescent="0.25">
      <c r="A78" s="219" t="s">
        <v>53</v>
      </c>
      <c r="B78" s="219"/>
      <c r="C78" s="219"/>
      <c r="D78" s="219"/>
      <c r="E78" s="220">
        <v>0</v>
      </c>
      <c r="F78" s="220"/>
    </row>
    <row r="79" spans="1:9" ht="13.5" customHeight="1" x14ac:dyDescent="0.25">
      <c r="A79" s="219" t="s">
        <v>54</v>
      </c>
      <c r="B79" s="219"/>
      <c r="C79" s="219"/>
      <c r="D79" s="219"/>
      <c r="E79" s="220">
        <f>E77-E78</f>
        <v>33262.220000000016</v>
      </c>
      <c r="F79" s="220"/>
    </row>
    <row r="80" spans="1:9" x14ac:dyDescent="0.25">
      <c r="A80" s="21"/>
      <c r="B80" s="21"/>
      <c r="C80" s="21"/>
      <c r="D80" s="21"/>
      <c r="E80" s="21"/>
      <c r="F80" s="21"/>
    </row>
    <row r="89" ht="25.5" customHeight="1" x14ac:dyDescent="0.25"/>
    <row r="102" spans="1:6" ht="30.75" customHeight="1" x14ac:dyDescent="0.25">
      <c r="A102" s="242" t="s">
        <v>55</v>
      </c>
      <c r="B102" s="242"/>
      <c r="C102" s="242"/>
      <c r="D102" s="242"/>
      <c r="E102" s="242"/>
      <c r="F102" s="242"/>
    </row>
    <row r="103" spans="1:6" ht="27" customHeight="1" x14ac:dyDescent="0.25">
      <c r="A103" s="242"/>
      <c r="B103" s="242"/>
      <c r="C103" s="242"/>
      <c r="D103" s="242"/>
      <c r="E103" s="242"/>
      <c r="F103" s="242"/>
    </row>
    <row r="104" spans="1:6" x14ac:dyDescent="0.25">
      <c r="A104" s="19"/>
      <c r="B104" s="19"/>
      <c r="C104" s="19"/>
      <c r="D104" s="19"/>
      <c r="E104" s="19"/>
      <c r="F104" s="19"/>
    </row>
    <row r="119" spans="1:6" x14ac:dyDescent="0.25">
      <c r="A119" s="243" t="s">
        <v>309</v>
      </c>
      <c r="B119" s="243"/>
      <c r="C119" s="243"/>
      <c r="D119" s="243"/>
      <c r="E119" s="243"/>
      <c r="F119" s="243"/>
    </row>
    <row r="120" spans="1:6" x14ac:dyDescent="0.25">
      <c r="A120" s="218"/>
      <c r="B120" s="218"/>
      <c r="C120" s="218"/>
      <c r="D120" s="218"/>
      <c r="E120" s="218"/>
      <c r="F120" s="218"/>
    </row>
    <row r="128" spans="1:6" x14ac:dyDescent="0.25">
      <c r="A128" s="164" t="s">
        <v>56</v>
      </c>
      <c r="B128" s="164"/>
      <c r="C128" s="164"/>
      <c r="D128" s="164"/>
      <c r="E128" s="164"/>
      <c r="F128" s="20"/>
    </row>
  </sheetData>
  <mergeCells count="59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76:D76"/>
    <mergeCell ref="E76:F76"/>
    <mergeCell ref="A37:F37"/>
    <mergeCell ref="A38:F38"/>
    <mergeCell ref="A41:F41"/>
    <mergeCell ref="A50:A51"/>
    <mergeCell ref="B50:B51"/>
    <mergeCell ref="F50:F51"/>
    <mergeCell ref="B52:F52"/>
    <mergeCell ref="A70:F70"/>
    <mergeCell ref="A74:F74"/>
    <mergeCell ref="A75:D75"/>
    <mergeCell ref="E75:F75"/>
    <mergeCell ref="A102:F103"/>
    <mergeCell ref="A119:F119"/>
    <mergeCell ref="A120:F120"/>
    <mergeCell ref="A77:D77"/>
    <mergeCell ref="E77:F77"/>
    <mergeCell ref="A78:D78"/>
    <mergeCell ref="E78:F78"/>
    <mergeCell ref="A79:D79"/>
    <mergeCell ref="E79:F79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I128"/>
  <sheetViews>
    <sheetView topLeftCell="A106" workbookViewId="0">
      <selection activeCell="A83" sqref="A83:F12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232" t="s">
        <v>311</v>
      </c>
      <c r="B7" s="232"/>
      <c r="C7" s="232"/>
      <c r="D7" s="232"/>
      <c r="E7" s="232"/>
      <c r="F7" s="232"/>
    </row>
    <row r="8" spans="1:6" ht="14.25" customHeight="1" x14ac:dyDescent="0.25">
      <c r="A8" s="232"/>
      <c r="B8" s="232"/>
      <c r="C8" s="232"/>
      <c r="D8" s="232"/>
      <c r="E8" s="232"/>
      <c r="F8" s="232"/>
    </row>
    <row r="9" spans="1:6" ht="30" customHeight="1" x14ac:dyDescent="0.25">
      <c r="A9" s="233" t="s">
        <v>1</v>
      </c>
      <c r="B9" s="234"/>
      <c r="C9" s="234"/>
      <c r="D9" s="234"/>
      <c r="E9" s="234"/>
      <c r="F9" s="234"/>
    </row>
    <row r="10" spans="1:6" ht="144.75" customHeight="1" x14ac:dyDescent="0.25">
      <c r="A10" s="235" t="s">
        <v>206</v>
      </c>
      <c r="B10" s="236"/>
      <c r="C10" s="236"/>
      <c r="D10" s="236"/>
      <c r="E10" s="236"/>
      <c r="F10" s="236"/>
    </row>
    <row r="11" spans="1:6" ht="6" customHeight="1" x14ac:dyDescent="0.25">
      <c r="A11" s="237"/>
      <c r="B11" s="237"/>
      <c r="C11" s="237"/>
      <c r="D11" s="237"/>
      <c r="E11" s="237"/>
      <c r="F11" s="237"/>
    </row>
    <row r="12" spans="1:6" x14ac:dyDescent="0.25">
      <c r="A12" s="238" t="s">
        <v>2</v>
      </c>
      <c r="B12" s="238"/>
      <c r="C12" s="238"/>
      <c r="D12" s="1" t="s">
        <v>3</v>
      </c>
      <c r="E12" s="1" t="s">
        <v>4</v>
      </c>
      <c r="F12" s="1" t="s">
        <v>5</v>
      </c>
    </row>
    <row r="13" spans="1:6" ht="18.75" customHeight="1" x14ac:dyDescent="0.25">
      <c r="A13" s="239" t="s">
        <v>6</v>
      </c>
      <c r="B13" s="239"/>
      <c r="C13" s="239"/>
      <c r="D13" s="2" t="s">
        <v>312</v>
      </c>
      <c r="E13" s="3" t="s">
        <v>203</v>
      </c>
      <c r="F13" s="4">
        <v>238949.03</v>
      </c>
    </row>
    <row r="14" spans="1:6" x14ac:dyDescent="0.25">
      <c r="A14" s="239" t="s">
        <v>7</v>
      </c>
      <c r="B14" s="239"/>
      <c r="C14" s="239"/>
      <c r="D14" s="3"/>
      <c r="E14" s="3"/>
      <c r="F14" s="5"/>
    </row>
    <row r="15" spans="1:6" x14ac:dyDescent="0.25">
      <c r="A15" s="239" t="s">
        <v>7</v>
      </c>
      <c r="B15" s="239"/>
      <c r="C15" s="239"/>
      <c r="D15" s="3"/>
      <c r="E15" s="3"/>
      <c r="F15" s="5"/>
    </row>
    <row r="16" spans="1:6" ht="15" customHeight="1" x14ac:dyDescent="0.25">
      <c r="A16" s="240"/>
      <c r="B16" s="241"/>
      <c r="C16" s="241"/>
      <c r="D16" s="241"/>
      <c r="E16" s="241"/>
      <c r="F16" s="241"/>
    </row>
    <row r="17" spans="1:6" x14ac:dyDescent="0.25">
      <c r="A17" s="238" t="s">
        <v>8</v>
      </c>
      <c r="B17" s="238"/>
      <c r="C17" s="238"/>
      <c r="D17" s="238"/>
      <c r="E17" s="238"/>
      <c r="F17" s="238"/>
    </row>
    <row r="18" spans="1:6" ht="27" x14ac:dyDescent="0.25">
      <c r="A18" s="1" t="s">
        <v>9</v>
      </c>
      <c r="B18" s="1" t="s">
        <v>10</v>
      </c>
      <c r="C18" s="1" t="s">
        <v>11</v>
      </c>
      <c r="D18" s="1" t="s">
        <v>12</v>
      </c>
      <c r="E18" s="238" t="s">
        <v>13</v>
      </c>
      <c r="F18" s="238"/>
    </row>
    <row r="19" spans="1:6" x14ac:dyDescent="0.25">
      <c r="A19" s="6">
        <v>44459</v>
      </c>
      <c r="B19" s="7">
        <v>16640</v>
      </c>
      <c r="C19" s="6">
        <v>44459</v>
      </c>
      <c r="D19" s="8">
        <v>2011343</v>
      </c>
      <c r="E19" s="231">
        <v>16640</v>
      </c>
      <c r="F19" s="231"/>
    </row>
    <row r="20" spans="1:6" x14ac:dyDescent="0.25">
      <c r="A20" s="9"/>
      <c r="B20" s="8"/>
      <c r="C20" s="6"/>
      <c r="D20" s="8"/>
      <c r="E20" s="231"/>
      <c r="F20" s="231"/>
    </row>
    <row r="21" spans="1:6" x14ac:dyDescent="0.25">
      <c r="A21" s="9"/>
      <c r="B21" s="8"/>
      <c r="C21" s="9"/>
      <c r="D21" s="8"/>
      <c r="E21" s="231"/>
      <c r="F21" s="231"/>
    </row>
    <row r="22" spans="1:6" x14ac:dyDescent="0.25">
      <c r="A22" s="9"/>
      <c r="B22" s="8"/>
      <c r="C22" s="9"/>
      <c r="D22" s="8"/>
      <c r="E22" s="231"/>
      <c r="F22" s="231"/>
    </row>
    <row r="23" spans="1:6" x14ac:dyDescent="0.25">
      <c r="A23" s="9"/>
      <c r="B23" s="8"/>
      <c r="C23" s="9"/>
      <c r="D23" s="8"/>
      <c r="E23" s="231"/>
      <c r="F23" s="231"/>
    </row>
    <row r="24" spans="1:6" x14ac:dyDescent="0.25">
      <c r="A24" s="9"/>
      <c r="B24" s="8"/>
      <c r="C24" s="9"/>
      <c r="D24" s="8"/>
      <c r="E24" s="231"/>
      <c r="F24" s="231"/>
    </row>
    <row r="25" spans="1:6" x14ac:dyDescent="0.25">
      <c r="A25" s="9"/>
      <c r="B25" s="8"/>
      <c r="C25" s="9"/>
      <c r="D25" s="8"/>
      <c r="E25" s="231"/>
      <c r="F25" s="231"/>
    </row>
    <row r="26" spans="1:6" x14ac:dyDescent="0.25">
      <c r="A26" s="3"/>
      <c r="B26" s="10"/>
      <c r="C26" s="10"/>
      <c r="D26" s="3"/>
      <c r="E26" s="231"/>
      <c r="F26" s="231"/>
    </row>
    <row r="27" spans="1:6" x14ac:dyDescent="0.25">
      <c r="A27" s="3"/>
      <c r="B27" s="10"/>
      <c r="C27" s="10"/>
      <c r="D27" s="10"/>
      <c r="E27" s="231"/>
      <c r="F27" s="231"/>
    </row>
    <row r="28" spans="1:6" x14ac:dyDescent="0.25">
      <c r="A28" s="3"/>
      <c r="B28" s="10"/>
      <c r="C28" s="10"/>
      <c r="D28" s="10"/>
      <c r="E28" s="231"/>
      <c r="F28" s="231"/>
    </row>
    <row r="29" spans="1:6" x14ac:dyDescent="0.25">
      <c r="A29" s="229" t="s">
        <v>14</v>
      </c>
      <c r="B29" s="229"/>
      <c r="C29" s="229"/>
      <c r="D29" s="10"/>
      <c r="E29" s="231">
        <f>Agosto!E79</f>
        <v>33262.220000000016</v>
      </c>
      <c r="F29" s="231"/>
    </row>
    <row r="30" spans="1:6" x14ac:dyDescent="0.25">
      <c r="A30" s="229" t="s">
        <v>15</v>
      </c>
      <c r="B30" s="229"/>
      <c r="C30" s="229"/>
      <c r="D30" s="10"/>
      <c r="E30" s="231">
        <f>E19+E20</f>
        <v>16640</v>
      </c>
      <c r="F30" s="231"/>
    </row>
    <row r="31" spans="1:6" x14ac:dyDescent="0.25">
      <c r="A31" s="229" t="s">
        <v>16</v>
      </c>
      <c r="B31" s="229"/>
      <c r="C31" s="229"/>
      <c r="D31" s="10"/>
      <c r="E31" s="231">
        <v>63.94</v>
      </c>
      <c r="F31" s="231"/>
    </row>
    <row r="32" spans="1:6" x14ac:dyDescent="0.25">
      <c r="A32" s="229" t="s">
        <v>17</v>
      </c>
      <c r="B32" s="229"/>
      <c r="C32" s="229"/>
      <c r="D32" s="10"/>
      <c r="E32" s="231"/>
      <c r="F32" s="231"/>
    </row>
    <row r="33" spans="1:6" x14ac:dyDescent="0.25">
      <c r="A33" s="229" t="s">
        <v>18</v>
      </c>
      <c r="B33" s="229"/>
      <c r="C33" s="229"/>
      <c r="D33" s="10"/>
      <c r="E33" s="231">
        <f>E29+E30+E31+E32</f>
        <v>49966.160000000018</v>
      </c>
      <c r="F33" s="231"/>
    </row>
    <row r="34" spans="1:6" x14ac:dyDescent="0.25">
      <c r="A34" s="227"/>
      <c r="B34" s="227"/>
      <c r="C34" s="227"/>
      <c r="D34" s="11"/>
      <c r="E34" s="228"/>
      <c r="F34" s="228"/>
    </row>
    <row r="35" spans="1:6" x14ac:dyDescent="0.25">
      <c r="A35" s="229" t="s">
        <v>19</v>
      </c>
      <c r="B35" s="229"/>
      <c r="C35" s="229"/>
      <c r="D35" s="10"/>
      <c r="E35" s="230"/>
      <c r="F35" s="230"/>
    </row>
    <row r="36" spans="1:6" x14ac:dyDescent="0.25">
      <c r="A36" s="229" t="s">
        <v>20</v>
      </c>
      <c r="B36" s="229"/>
      <c r="C36" s="229"/>
      <c r="D36" s="10"/>
      <c r="E36" s="230">
        <f>E33+E35</f>
        <v>49966.160000000018</v>
      </c>
      <c r="F36" s="230"/>
    </row>
    <row r="37" spans="1:6" ht="54" customHeight="1" x14ac:dyDescent="0.25">
      <c r="A37" s="216" t="s">
        <v>204</v>
      </c>
      <c r="B37" s="221"/>
      <c r="C37" s="221"/>
      <c r="D37" s="221"/>
      <c r="E37" s="221"/>
      <c r="F37" s="221"/>
    </row>
    <row r="38" spans="1:6" ht="15" customHeight="1" x14ac:dyDescent="0.25">
      <c r="A38" s="222"/>
      <c r="B38" s="222"/>
      <c r="C38" s="222"/>
      <c r="D38" s="222"/>
      <c r="E38" s="222"/>
      <c r="F38" s="222"/>
    </row>
    <row r="39" spans="1:6" ht="15" customHeight="1" x14ac:dyDescent="0.25">
      <c r="A39" s="12"/>
      <c r="B39" s="12"/>
      <c r="C39" s="12"/>
      <c r="D39" s="12"/>
      <c r="E39" s="12"/>
      <c r="F39" s="12"/>
    </row>
    <row r="40" spans="1:6" ht="15" customHeight="1" x14ac:dyDescent="0.25">
      <c r="A40" s="12"/>
      <c r="B40" s="12"/>
      <c r="C40" s="12"/>
      <c r="D40" s="12"/>
      <c r="E40" s="12"/>
      <c r="F40" s="12"/>
    </row>
    <row r="41" spans="1:6" ht="15" customHeight="1" x14ac:dyDescent="0.25">
      <c r="A41" s="223"/>
      <c r="B41" s="223"/>
      <c r="C41" s="223"/>
      <c r="D41" s="223"/>
      <c r="E41" s="223"/>
      <c r="F41" s="223"/>
    </row>
    <row r="42" spans="1:6" ht="15" customHeight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2"/>
      <c r="B43" s="12"/>
      <c r="C43" s="12"/>
      <c r="D43" s="12"/>
      <c r="E43" s="12"/>
      <c r="F43" s="12"/>
    </row>
    <row r="44" spans="1:6" ht="15" customHeight="1" x14ac:dyDescent="0.25">
      <c r="A44" s="12"/>
      <c r="B44" s="12"/>
      <c r="C44" s="12"/>
      <c r="D44" s="12"/>
      <c r="E44" s="12"/>
      <c r="F44" s="12"/>
    </row>
    <row r="45" spans="1:6" ht="15" customHeight="1" x14ac:dyDescent="0.25">
      <c r="A45" s="12"/>
      <c r="B45" s="12"/>
      <c r="C45" s="12"/>
      <c r="D45" s="12"/>
      <c r="E45" s="12"/>
      <c r="F45" s="12"/>
    </row>
    <row r="46" spans="1:6" ht="15" customHeight="1" x14ac:dyDescent="0.25">
      <c r="A46" s="12"/>
      <c r="B46" s="12"/>
      <c r="C46" s="12"/>
      <c r="D46" s="12"/>
      <c r="E46" s="12"/>
      <c r="F46" s="12"/>
    </row>
    <row r="47" spans="1:6" ht="15" customHeight="1" x14ac:dyDescent="0.25">
      <c r="A47" s="12"/>
      <c r="B47" s="12"/>
      <c r="C47" s="12"/>
      <c r="D47" s="12"/>
      <c r="E47" s="12"/>
      <c r="F47" s="12"/>
    </row>
    <row r="48" spans="1:6" ht="15" customHeight="1" x14ac:dyDescent="0.25">
      <c r="A48" s="12"/>
      <c r="B48" s="12"/>
      <c r="C48" s="12"/>
      <c r="D48" s="12"/>
      <c r="E48" s="12"/>
      <c r="F48" s="12"/>
    </row>
    <row r="49" spans="1:6" ht="15" customHeight="1" x14ac:dyDescent="0.25">
      <c r="A49" s="12"/>
      <c r="B49" s="12"/>
      <c r="C49" s="12"/>
      <c r="D49" s="12"/>
      <c r="E49" s="12"/>
      <c r="F49" s="12"/>
    </row>
    <row r="50" spans="1:6" ht="65.25" customHeight="1" x14ac:dyDescent="0.25">
      <c r="A50" s="224" t="s">
        <v>21</v>
      </c>
      <c r="B50" s="224" t="s">
        <v>22</v>
      </c>
      <c r="C50" s="13" t="s">
        <v>23</v>
      </c>
      <c r="D50" s="13" t="s">
        <v>24</v>
      </c>
      <c r="E50" s="13" t="s">
        <v>25</v>
      </c>
      <c r="F50" s="224" t="s">
        <v>26</v>
      </c>
    </row>
    <row r="51" spans="1:6" x14ac:dyDescent="0.25">
      <c r="A51" s="224"/>
      <c r="B51" s="224"/>
      <c r="C51" s="14" t="s">
        <v>27</v>
      </c>
      <c r="D51" s="14" t="s">
        <v>28</v>
      </c>
      <c r="E51" s="14" t="s">
        <v>29</v>
      </c>
      <c r="F51" s="224"/>
    </row>
    <row r="52" spans="1:6" x14ac:dyDescent="0.25">
      <c r="A52" s="15"/>
      <c r="B52" s="224" t="s">
        <v>30</v>
      </c>
      <c r="C52" s="224"/>
      <c r="D52" s="224"/>
      <c r="E52" s="224"/>
      <c r="F52" s="224"/>
    </row>
    <row r="53" spans="1:6" ht="19.5" customHeight="1" x14ac:dyDescent="0.25">
      <c r="A53" s="16" t="s">
        <v>31</v>
      </c>
      <c r="B53" s="91">
        <v>21014.25</v>
      </c>
      <c r="C53" s="88">
        <v>20835.09</v>
      </c>
      <c r="D53" s="88">
        <f>15458.87-B67</f>
        <v>15377.92</v>
      </c>
      <c r="E53" s="88">
        <f>C53+D53</f>
        <v>36213.01</v>
      </c>
      <c r="F53" s="91">
        <f>B53</f>
        <v>21014.25</v>
      </c>
    </row>
    <row r="54" spans="1:6" ht="17.25" customHeight="1" x14ac:dyDescent="0.25">
      <c r="A54" s="16" t="s">
        <v>32</v>
      </c>
      <c r="B54" s="90">
        <v>0</v>
      </c>
      <c r="C54" s="88">
        <v>0</v>
      </c>
      <c r="D54" s="88">
        <v>0</v>
      </c>
      <c r="E54" s="88">
        <f t="shared" ref="E54:E69" si="0">C54+D54</f>
        <v>0</v>
      </c>
      <c r="F54" s="88">
        <v>0</v>
      </c>
    </row>
    <row r="55" spans="1:6" ht="15" customHeight="1" x14ac:dyDescent="0.25">
      <c r="A55" s="16" t="s">
        <v>33</v>
      </c>
      <c r="B55" s="88">
        <v>0</v>
      </c>
      <c r="C55" s="88">
        <v>0</v>
      </c>
      <c r="D55" s="88">
        <v>0</v>
      </c>
      <c r="E55" s="88">
        <f t="shared" si="0"/>
        <v>0</v>
      </c>
      <c r="F55" s="88">
        <v>0</v>
      </c>
    </row>
    <row r="56" spans="1:6" ht="21.75" customHeight="1" x14ac:dyDescent="0.25">
      <c r="A56" s="16" t="s">
        <v>34</v>
      </c>
      <c r="B56" s="88">
        <v>0</v>
      </c>
      <c r="C56" s="88">
        <v>0</v>
      </c>
      <c r="D56" s="88">
        <v>0</v>
      </c>
      <c r="E56" s="88">
        <f t="shared" si="0"/>
        <v>0</v>
      </c>
      <c r="F56" s="88">
        <v>0</v>
      </c>
    </row>
    <row r="57" spans="1:6" x14ac:dyDescent="0.25">
      <c r="A57" s="16" t="s">
        <v>35</v>
      </c>
      <c r="B57" s="88">
        <v>0</v>
      </c>
      <c r="C57" s="88">
        <v>0</v>
      </c>
      <c r="D57" s="88">
        <v>0</v>
      </c>
      <c r="E57" s="88">
        <f t="shared" si="0"/>
        <v>0</v>
      </c>
      <c r="F57" s="88">
        <v>0</v>
      </c>
    </row>
    <row r="58" spans="1:6" ht="22.5" x14ac:dyDescent="0.25">
      <c r="A58" s="16" t="s">
        <v>36</v>
      </c>
      <c r="B58" s="88">
        <v>0</v>
      </c>
      <c r="C58" s="88">
        <v>0</v>
      </c>
      <c r="D58" s="88">
        <v>0</v>
      </c>
      <c r="E58" s="88">
        <f t="shared" si="0"/>
        <v>0</v>
      </c>
      <c r="F58" s="88">
        <v>0</v>
      </c>
    </row>
    <row r="59" spans="1:6" x14ac:dyDescent="0.25">
      <c r="A59" s="16" t="s">
        <v>37</v>
      </c>
      <c r="B59" s="88">
        <v>0</v>
      </c>
      <c r="C59" s="88">
        <v>0</v>
      </c>
      <c r="D59" s="88">
        <v>0</v>
      </c>
      <c r="E59" s="88">
        <f t="shared" si="0"/>
        <v>0</v>
      </c>
      <c r="F59" s="88">
        <v>0</v>
      </c>
    </row>
    <row r="60" spans="1:6" ht="22.5" x14ac:dyDescent="0.25">
      <c r="A60" s="16" t="s">
        <v>38</v>
      </c>
      <c r="B60" s="88">
        <v>0</v>
      </c>
      <c r="C60" s="88">
        <v>0</v>
      </c>
      <c r="D60" s="88">
        <v>0</v>
      </c>
      <c r="E60" s="88">
        <f t="shared" si="0"/>
        <v>0</v>
      </c>
      <c r="F60" s="88">
        <v>0</v>
      </c>
    </row>
    <row r="61" spans="1:6" x14ac:dyDescent="0.25">
      <c r="A61" s="16" t="s">
        <v>39</v>
      </c>
      <c r="B61" s="88">
        <v>0</v>
      </c>
      <c r="C61" s="88">
        <v>0</v>
      </c>
      <c r="D61" s="88">
        <v>0</v>
      </c>
      <c r="E61" s="88">
        <f t="shared" si="0"/>
        <v>0</v>
      </c>
      <c r="F61" s="88">
        <v>0</v>
      </c>
    </row>
    <row r="62" spans="1:6" x14ac:dyDescent="0.25">
      <c r="A62" s="16" t="s">
        <v>40</v>
      </c>
      <c r="B62" s="88">
        <v>0</v>
      </c>
      <c r="C62" s="88">
        <v>0</v>
      </c>
      <c r="D62" s="88">
        <v>0</v>
      </c>
      <c r="E62" s="88">
        <f t="shared" si="0"/>
        <v>0</v>
      </c>
      <c r="F62" s="88">
        <v>0</v>
      </c>
    </row>
    <row r="63" spans="1:6" x14ac:dyDescent="0.25">
      <c r="A63" s="16" t="s">
        <v>41</v>
      </c>
      <c r="B63" s="88">
        <v>0</v>
      </c>
      <c r="C63" s="88">
        <v>0</v>
      </c>
      <c r="D63" s="88">
        <v>0</v>
      </c>
      <c r="E63" s="88">
        <f t="shared" si="0"/>
        <v>0</v>
      </c>
      <c r="F63" s="88">
        <v>0</v>
      </c>
    </row>
    <row r="64" spans="1:6" x14ac:dyDescent="0.25">
      <c r="A64" s="16" t="s">
        <v>42</v>
      </c>
      <c r="B64" s="88">
        <v>0</v>
      </c>
      <c r="C64" s="88">
        <v>0</v>
      </c>
      <c r="D64" s="88">
        <v>0</v>
      </c>
      <c r="E64" s="88">
        <f t="shared" si="0"/>
        <v>0</v>
      </c>
      <c r="F64" s="88">
        <v>0</v>
      </c>
    </row>
    <row r="65" spans="1:9" ht="22.5" x14ac:dyDescent="0.25">
      <c r="A65" s="16" t="s">
        <v>43</v>
      </c>
      <c r="B65" s="88">
        <v>0</v>
      </c>
      <c r="C65" s="88">
        <v>0</v>
      </c>
      <c r="D65" s="88">
        <v>0</v>
      </c>
      <c r="E65" s="88">
        <f t="shared" si="0"/>
        <v>0</v>
      </c>
      <c r="F65" s="88">
        <v>0</v>
      </c>
    </row>
    <row r="66" spans="1:9" x14ac:dyDescent="0.25">
      <c r="A66" s="16" t="s">
        <v>44</v>
      </c>
      <c r="B66" s="88">
        <v>0</v>
      </c>
      <c r="C66" s="88">
        <v>0</v>
      </c>
      <c r="D66" s="88">
        <v>0</v>
      </c>
      <c r="E66" s="88">
        <f t="shared" si="0"/>
        <v>0</v>
      </c>
      <c r="F66" s="88">
        <v>0</v>
      </c>
    </row>
    <row r="67" spans="1:9" ht="22.5" x14ac:dyDescent="0.25">
      <c r="A67" s="16" t="s">
        <v>45</v>
      </c>
      <c r="B67" s="89">
        <v>80.95</v>
      </c>
      <c r="C67" s="88">
        <v>0</v>
      </c>
      <c r="D67" s="89">
        <f>B67</f>
        <v>80.95</v>
      </c>
      <c r="E67" s="89">
        <f t="shared" si="0"/>
        <v>80.95</v>
      </c>
      <c r="F67" s="89">
        <v>0</v>
      </c>
    </row>
    <row r="68" spans="1:9" x14ac:dyDescent="0.25">
      <c r="A68" s="16" t="s">
        <v>46</v>
      </c>
      <c r="B68" s="88">
        <v>0</v>
      </c>
      <c r="C68" s="88">
        <v>0</v>
      </c>
      <c r="D68" s="88">
        <v>0</v>
      </c>
      <c r="E68" s="88">
        <f t="shared" si="0"/>
        <v>0</v>
      </c>
      <c r="F68" s="88">
        <v>0</v>
      </c>
    </row>
    <row r="69" spans="1:9" x14ac:dyDescent="0.25">
      <c r="A69" s="17" t="s">
        <v>47</v>
      </c>
      <c r="B69" s="89">
        <f>SUM(B53:B68)</f>
        <v>21095.200000000001</v>
      </c>
      <c r="C69" s="88">
        <f>SUM(C53:C68)</f>
        <v>20835.09</v>
      </c>
      <c r="D69" s="89">
        <f>SUM(D53:D68)</f>
        <v>15458.87</v>
      </c>
      <c r="E69" s="89">
        <f t="shared" si="0"/>
        <v>36293.96</v>
      </c>
      <c r="F69" s="89">
        <f>SUM(F53:F68)</f>
        <v>21014.25</v>
      </c>
    </row>
    <row r="70" spans="1:9" ht="110.25" customHeight="1" x14ac:dyDescent="0.25">
      <c r="A70" s="225" t="s">
        <v>48</v>
      </c>
      <c r="B70" s="226"/>
      <c r="C70" s="226"/>
      <c r="D70" s="226"/>
      <c r="E70" s="226"/>
      <c r="F70" s="226"/>
      <c r="I70" s="18"/>
    </row>
    <row r="71" spans="1:9" ht="13.5" customHeight="1" x14ac:dyDescent="0.25"/>
    <row r="72" spans="1:9" ht="12.75" customHeight="1" x14ac:dyDescent="0.25">
      <c r="H72" s="36">
        <v>22818.35</v>
      </c>
      <c r="I72" s="161" t="e">
        <f>H72-#REF!</f>
        <v>#REF!</v>
      </c>
    </row>
    <row r="73" spans="1:9" ht="14.25" customHeight="1" x14ac:dyDescent="0.25"/>
    <row r="74" spans="1:9" ht="17.25" customHeight="1" x14ac:dyDescent="0.25">
      <c r="A74" s="224" t="s">
        <v>49</v>
      </c>
      <c r="B74" s="224"/>
      <c r="C74" s="224"/>
      <c r="D74" s="224"/>
      <c r="E74" s="224"/>
      <c r="F74" s="224"/>
    </row>
    <row r="75" spans="1:9" ht="17.25" customHeight="1" x14ac:dyDescent="0.25">
      <c r="A75" s="219" t="s">
        <v>50</v>
      </c>
      <c r="B75" s="219"/>
      <c r="C75" s="219"/>
      <c r="D75" s="219"/>
      <c r="E75" s="220">
        <f>E36</f>
        <v>49966.160000000018</v>
      </c>
      <c r="F75" s="220"/>
    </row>
    <row r="76" spans="1:9" ht="17.25" customHeight="1" x14ac:dyDescent="0.25">
      <c r="A76" s="219" t="s">
        <v>51</v>
      </c>
      <c r="B76" s="219"/>
      <c r="C76" s="219"/>
      <c r="D76" s="219"/>
      <c r="E76" s="220">
        <f>C69+D69</f>
        <v>36293.96</v>
      </c>
      <c r="F76" s="220"/>
    </row>
    <row r="77" spans="1:9" ht="15.95" customHeight="1" x14ac:dyDescent="0.25">
      <c r="A77" s="219" t="s">
        <v>52</v>
      </c>
      <c r="B77" s="219"/>
      <c r="C77" s="219"/>
      <c r="D77" s="219"/>
      <c r="E77" s="220">
        <f>E33-(E76-E35)</f>
        <v>13672.200000000019</v>
      </c>
      <c r="F77" s="220"/>
    </row>
    <row r="78" spans="1:9" ht="13.5" customHeight="1" x14ac:dyDescent="0.25">
      <c r="A78" s="219" t="s">
        <v>53</v>
      </c>
      <c r="B78" s="219"/>
      <c r="C78" s="219"/>
      <c r="D78" s="219"/>
      <c r="E78" s="220">
        <v>0</v>
      </c>
      <c r="F78" s="220"/>
    </row>
    <row r="79" spans="1:9" ht="13.5" customHeight="1" x14ac:dyDescent="0.25">
      <c r="A79" s="219" t="s">
        <v>54</v>
      </c>
      <c r="B79" s="219"/>
      <c r="C79" s="219"/>
      <c r="D79" s="219"/>
      <c r="E79" s="220">
        <f>E77-E78</f>
        <v>13672.200000000019</v>
      </c>
      <c r="F79" s="220"/>
    </row>
    <row r="80" spans="1:9" x14ac:dyDescent="0.25">
      <c r="A80" s="21"/>
      <c r="B80" s="21"/>
      <c r="C80" s="21"/>
      <c r="D80" s="21"/>
      <c r="E80" s="21"/>
      <c r="F80" s="21"/>
    </row>
    <row r="89" ht="25.5" customHeight="1" x14ac:dyDescent="0.25"/>
    <row r="102" spans="1:6" ht="30.75" customHeight="1" x14ac:dyDescent="0.25">
      <c r="A102" s="242" t="s">
        <v>55</v>
      </c>
      <c r="B102" s="242"/>
      <c r="C102" s="242"/>
      <c r="D102" s="242"/>
      <c r="E102" s="242"/>
      <c r="F102" s="242"/>
    </row>
    <row r="103" spans="1:6" ht="27" customHeight="1" x14ac:dyDescent="0.25">
      <c r="A103" s="242"/>
      <c r="B103" s="242"/>
      <c r="C103" s="242"/>
      <c r="D103" s="242"/>
      <c r="E103" s="242"/>
      <c r="F103" s="242"/>
    </row>
    <row r="104" spans="1:6" x14ac:dyDescent="0.25">
      <c r="A104" s="19"/>
      <c r="B104" s="19"/>
      <c r="C104" s="19"/>
      <c r="D104" s="19"/>
      <c r="E104" s="19"/>
      <c r="F104" s="19"/>
    </row>
    <row r="119" spans="1:6" x14ac:dyDescent="0.25">
      <c r="A119" s="243" t="s">
        <v>323</v>
      </c>
      <c r="B119" s="243"/>
      <c r="C119" s="243"/>
      <c r="D119" s="243"/>
      <c r="E119" s="243"/>
      <c r="F119" s="243"/>
    </row>
    <row r="120" spans="1:6" x14ac:dyDescent="0.25">
      <c r="A120" s="218"/>
      <c r="B120" s="218"/>
      <c r="C120" s="218"/>
      <c r="D120" s="218"/>
      <c r="E120" s="218"/>
      <c r="F120" s="218"/>
    </row>
    <row r="128" spans="1:6" x14ac:dyDescent="0.25">
      <c r="A128" s="164" t="s">
        <v>56</v>
      </c>
      <c r="B128" s="164"/>
      <c r="C128" s="164"/>
      <c r="D128" s="164"/>
      <c r="E128" s="164"/>
      <c r="F128" s="20"/>
    </row>
  </sheetData>
  <mergeCells count="59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76:D76"/>
    <mergeCell ref="E76:F76"/>
    <mergeCell ref="A37:F37"/>
    <mergeCell ref="A38:F38"/>
    <mergeCell ref="A41:F41"/>
    <mergeCell ref="A50:A51"/>
    <mergeCell ref="B50:B51"/>
    <mergeCell ref="F50:F51"/>
    <mergeCell ref="B52:F52"/>
    <mergeCell ref="A70:F70"/>
    <mergeCell ref="A74:F74"/>
    <mergeCell ref="A75:D75"/>
    <mergeCell ref="E75:F75"/>
    <mergeCell ref="A102:F103"/>
    <mergeCell ref="A119:F119"/>
    <mergeCell ref="A120:F120"/>
    <mergeCell ref="A77:D77"/>
    <mergeCell ref="E77:F77"/>
    <mergeCell ref="A78:D78"/>
    <mergeCell ref="E78:F78"/>
    <mergeCell ref="A79:D79"/>
    <mergeCell ref="E79:F79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2</vt:i4>
      </vt:variant>
    </vt:vector>
  </HeadingPairs>
  <TitlesOfParts>
    <vt:vector size="33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Con-Março</vt:lpstr>
      <vt:lpstr>Con-Abril</vt:lpstr>
      <vt:lpstr>Con. Maio</vt:lpstr>
      <vt:lpstr>Folha</vt:lpstr>
      <vt:lpstr>ConJunho</vt:lpstr>
      <vt:lpstr>ConJulho</vt:lpstr>
      <vt:lpstr>ConAgosto</vt:lpstr>
      <vt:lpstr>Planilha2</vt:lpstr>
      <vt:lpstr>FOLHA1</vt:lpstr>
      <vt:lpstr>Janeiro1</vt:lpstr>
      <vt:lpstr>Fevereiro1</vt:lpstr>
      <vt:lpstr>OUT</vt:lpstr>
      <vt:lpstr>Ofi-Anual</vt:lpstr>
      <vt:lpstr>Anexo18</vt:lpstr>
      <vt:lpstr>Anexo19</vt:lpstr>
      <vt:lpstr>At. Existência</vt:lpstr>
      <vt:lpstr>At.Regularidade</vt:lpstr>
      <vt:lpstr>Dec. Guarda</vt:lpstr>
      <vt:lpstr>Dec.Exatidão</vt:lpstr>
      <vt:lpstr>Dec.Dirigente</vt:lpstr>
      <vt:lpstr>Parec.Conselho</vt:lpstr>
      <vt:lpstr>Oculta</vt:lpstr>
      <vt:lpstr>Anexo18!_Toc453590990</vt:lpstr>
      <vt:lpstr>Anexo19!_Toc453590991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Maria Idalice Porto Ribeiro</cp:lastModifiedBy>
  <cp:lastPrinted>2023-03-06T18:28:32Z</cp:lastPrinted>
  <dcterms:created xsi:type="dcterms:W3CDTF">2019-02-11T16:11:31Z</dcterms:created>
  <dcterms:modified xsi:type="dcterms:W3CDTF">2023-03-06T18:31:26Z</dcterms:modified>
</cp:coreProperties>
</file>